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pn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Ex1.xml" ContentType="application/vnd.ms-office.chartex+xml"/>
  <Override PartName="/xl/charts/style1.xml" ContentType="application/vnd.ms-office.chartstyle+xml"/>
  <Override PartName="/xl/charts/colors1.xml" ContentType="application/vnd.ms-office.chartcolorstyle+xml"/>
  <Override PartName="/xl/charts/chartEx2.xml" ContentType="application/vnd.ms-office.chartex+xml"/>
  <Override PartName="/xl/charts/style2.xml" ContentType="application/vnd.ms-office.chartstyle+xml"/>
  <Override PartName="/xl/charts/colors2.xml" ContentType="application/vnd.ms-office.chartcolorstyle+xml"/>
  <Override PartName="/xl/charts/chartEx3.xml" ContentType="application/vnd.ms-office.chartex+xml"/>
  <Override PartName="/xl/charts/style3.xml" ContentType="application/vnd.ms-office.chartstyle+xml"/>
  <Override PartName="/xl/charts/colors3.xml" ContentType="application/vnd.ms-office.chartcolorstyle+xml"/>
  <Override PartName="/xl/charts/chartEx4.xml" ContentType="application/vnd.ms-office.chartex+xml"/>
  <Override PartName="/xl/charts/style4.xml" ContentType="application/vnd.ms-office.chartstyle+xml"/>
  <Override PartName="/xl/charts/colors4.xml" ContentType="application/vnd.ms-office.chartcolorstyle+xml"/>
  <Override PartName="/xl/charts/chartEx5.xml" ContentType="application/vnd.ms-office.chartex+xml"/>
  <Override PartName="/xl/charts/style5.xml" ContentType="application/vnd.ms-office.chartstyle+xml"/>
  <Override PartName="/xl/charts/colors5.xml" ContentType="application/vnd.ms-office.chartcolorstyle+xml"/>
  <Override PartName="/xl/charts/chartEx6.xml" ContentType="application/vnd.ms-office.chartex+xml"/>
  <Override PartName="/xl/charts/style6.xml" ContentType="application/vnd.ms-office.chartstyle+xml"/>
  <Override PartName="/xl/charts/colors6.xml" ContentType="application/vnd.ms-office.chartcolorstyle+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rawings/drawing3.xml" ContentType="application/vnd.openxmlformats-officedocument.drawing+xml"/>
  <Override PartName="/xl/tables/table1.xml" ContentType="application/vnd.openxmlformats-officedocument.spreadsheetml.table+xml"/>
  <Override PartName="/xl/charts/chartEx7.xml" ContentType="application/vnd.ms-office.chartex+xml"/>
  <Override PartName="/xl/charts/style7.xml" ContentType="application/vnd.ms-office.chartstyle+xml"/>
  <Override PartName="/xl/charts/colors7.xml" ContentType="application/vnd.ms-office.chartcolorstyle+xml"/>
  <Override PartName="/xl/charts/chartEx8.xml" ContentType="application/vnd.ms-office.chartex+xml"/>
  <Override PartName="/xl/charts/style8.xml" ContentType="application/vnd.ms-office.chartstyle+xml"/>
  <Override PartName="/xl/charts/colors8.xml" ContentType="application/vnd.ms-office.chartcolorstyle+xml"/>
  <Override PartName="/xl/drawings/drawing4.xml" ContentType="application/vnd.openxmlformats-officedocument.drawing+xml"/>
  <Override PartName="/xl/tables/table2.xml" ContentType="application/vnd.openxmlformats-officedocument.spreadsheetml.table+xml"/>
  <Override PartName="/xl/charts/chartEx9.xml" ContentType="application/vnd.ms-office.chartex+xml"/>
  <Override PartName="/xl/charts/style9.xml" ContentType="application/vnd.ms-office.chartstyle+xml"/>
  <Override PartName="/xl/charts/colors9.xml" ContentType="application/vnd.ms-office.chartcolorstyle+xml"/>
  <Override PartName="/xl/drawings/drawing5.xml" ContentType="application/vnd.openxmlformats-officedocument.drawing+xml"/>
  <Override PartName="/xl/charts/chart1.xml" ContentType="application/vnd.openxmlformats-officedocument.drawingml.chart+xml"/>
  <Override PartName="/xl/charts/style10.xml" ContentType="application/vnd.ms-office.chartstyle+xml"/>
  <Override PartName="/xl/charts/colors10.xml" ContentType="application/vnd.ms-office.chartcolorstyle+xml"/>
  <Override PartName="/xl/charts/chart2.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6.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harts/chart3.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7.xml" ContentType="application/vnd.openxmlformats-officedocument.drawing+xml"/>
  <Override PartName="/xl/charts/chartEx10.xml" ContentType="application/vnd.ms-office.chartex+xml"/>
  <Override PartName="/xl/charts/style13.xml" ContentType="application/vnd.ms-office.chartstyle+xml"/>
  <Override PartName="/xl/charts/colors13.xml" ContentType="application/vnd.ms-office.chartcolorstyle+xml"/>
  <Override PartName="/xl/charts/chartEx11.xml" ContentType="application/vnd.ms-office.chartex+xml"/>
  <Override PartName="/xl/charts/style14.xml" ContentType="application/vnd.ms-office.chartstyle+xml"/>
  <Override PartName="/xl/charts/colors14.xml" ContentType="application/vnd.ms-office.chartcolorstyle+xml"/>
  <Override PartName="/xl/charts/chart4.xml" ContentType="application/vnd.openxmlformats-officedocument.drawingml.chart+xml"/>
  <Override PartName="/xl/charts/style15.xml" ContentType="application/vnd.ms-office.chartstyle+xml"/>
  <Override PartName="/xl/charts/colors15.xml" ContentType="application/vnd.ms-office.chartcolorstyle+xml"/>
  <Override PartName="/xl/charts/chart5.xml" ContentType="application/vnd.openxmlformats-officedocument.drawingml.chart+xml"/>
  <Override PartName="/xl/charts/style16.xml" ContentType="application/vnd.ms-office.chartstyle+xml"/>
  <Override PartName="/xl/charts/colors16.xml" ContentType="application/vnd.ms-office.chartcolorstyle+xml"/>
  <Override PartName="/xl/charts/chart6.xml" ContentType="application/vnd.openxmlformats-officedocument.drawingml.chart+xml"/>
  <Override PartName="/xl/charts/style17.xml" ContentType="application/vnd.ms-office.chartstyle+xml"/>
  <Override PartName="/xl/charts/colors17.xml" ContentType="application/vnd.ms-office.chartcolorstyle+xml"/>
  <Override PartName="/xl/charts/chart7.xml" ContentType="application/vnd.openxmlformats-officedocument.drawingml.chart+xml"/>
  <Override PartName="/xl/charts/style18.xml" ContentType="application/vnd.ms-office.chartstyle+xml"/>
  <Override PartName="/xl/charts/colors18.xml" ContentType="application/vnd.ms-office.chartcolorstyle+xml"/>
  <Override PartName="/xl/charts/chart8.xml" ContentType="application/vnd.openxmlformats-officedocument.drawingml.chart+xml"/>
  <Override PartName="/xl/charts/style19.xml" ContentType="application/vnd.ms-office.chartstyle+xml"/>
  <Override PartName="/xl/charts/colors19.xml" ContentType="application/vnd.ms-office.chartcolorstyle+xml"/>
  <Override PartName="/xl/charts/chart9.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8.xml" ContentType="application/vnd.openxmlformats-officedocument.drawing+xml"/>
  <Override PartName="/xl/drawings/drawing9.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showInkAnnotation="0" codeName="ThisWorkbook" defaultThemeVersion="124226"/>
  <mc:AlternateContent xmlns:mc="http://schemas.openxmlformats.org/markup-compatibility/2006">
    <mc:Choice Requires="x15">
      <x15ac:absPath xmlns:x15ac="http://schemas.microsoft.com/office/spreadsheetml/2010/11/ac" url="C:\Users\phili\OneDrive - Food and Agriculture Organization\Desktop\1. EX-ACT\1. Tools\B-INTACT\1_Tools\"/>
    </mc:Choice>
  </mc:AlternateContent>
  <xr:revisionPtr revIDLastSave="141" documentId="8_{904446D2-3CE1-4610-81CC-1721302E3B82}" xr6:coauthVersionLast="44" xr6:coauthVersionMax="44" xr10:uidLastSave="{7B485FB9-FF86-4FC3-8FFE-26950818C811}"/>
  <workbookProtection workbookAlgorithmName="SHA-512" workbookHashValue="9KEQEHreTKFL1nvUpVUjRi2a5pYAMcH5IYn2bTVpP66PqjdTEIih83W3FgPkQOcVa51ZxkCHUxJVHUnV7PvPPA==" workbookSaltValue="1RxsWmFLgMRtTNN+JnBMnw==" workbookSpinCount="100000" lockStructure="1"/>
  <bookViews>
    <workbookView xWindow="-110" yWindow="-110" windowWidth="19420" windowHeight="10420" tabRatio="815" xr2:uid="{00000000-000D-0000-FFFF-FFFF00000000}"/>
  </bookViews>
  <sheets>
    <sheet name="Start" sheetId="52" r:id="rId1"/>
    <sheet name="Context variables" sheetId="78" state="hidden" r:id="rId2"/>
    <sheet name="Biodiversity Assessment" sheetId="55" r:id="rId3"/>
    <sheet name="ESVD - Database" sheetId="73" state="hidden" r:id="rId4"/>
    <sheet name="ESVD - Land Use Match" sheetId="74" state="hidden" r:id="rId5"/>
    <sheet name="ESVD - Land Use &amp; Climate Match" sheetId="75" state="hidden" r:id="rId6"/>
    <sheet name="ESVD - SUMMARY TABLE" sheetId="76" state="hidden" r:id="rId7"/>
    <sheet name="Graph 1" sheetId="72" state="hidden" r:id="rId8"/>
    <sheet name="Graph 2" sheetId="71" state="hidden" r:id="rId9"/>
    <sheet name="ESVD - Social Value of Bio" sheetId="77" state="hidden" r:id="rId10"/>
    <sheet name="Biodiversity" sheetId="65" state="hidden" r:id="rId11"/>
    <sheet name="Data" sheetId="64" state="hidden" r:id="rId12"/>
    <sheet name="Biodiversity Results" sheetId="60" r:id="rId13"/>
    <sheet name="Help" sheetId="2" r:id="rId14"/>
    <sheet name="Definitions" sheetId="66" r:id="rId15"/>
  </sheets>
  <definedNames>
    <definedName name="_xlnm._FilterDatabase" localSheetId="10" hidden="1">Biodiversity!$A$110:$C$110</definedName>
    <definedName name="_xlnm._FilterDatabase" localSheetId="1" hidden="1">'Context variables'!$A$1:$E$1</definedName>
    <definedName name="_xlnm._FilterDatabase" localSheetId="11" hidden="1">Data!$A$43:$C$43</definedName>
    <definedName name="_xlchart.v1.0" hidden="1">'Graph 2'!$G$2:$H$32</definedName>
    <definedName name="_xlchart.v1.1" hidden="1">'Graph 2'!$I$2:$I$32</definedName>
    <definedName name="_xlchart.v1.10" hidden="1">'Biodiversity Assessment'!$E$18:$E$37</definedName>
    <definedName name="_xlchart.v1.11" hidden="1">'Biodiversity Assessment'!$U$18:$U$37</definedName>
    <definedName name="_xlchart.v1.12" hidden="1">'Biodiversity Assessment'!$E$18:$E$37</definedName>
    <definedName name="_xlchart.v1.13" hidden="1">'Biodiversity Assessment'!$M$18:$M$37</definedName>
    <definedName name="_xlchart.v1.2" hidden="1">'Graph 1'!$G$2:$H$32</definedName>
    <definedName name="_xlchart.v1.3" hidden="1">'Graph 1'!$I$2:$I$32</definedName>
    <definedName name="_xlchart.v1.4" hidden="1">'Graph 1'!$G$2:$G$32</definedName>
    <definedName name="_xlchart.v1.5" hidden="1">'Graph 1'!$I$2:$I$32</definedName>
    <definedName name="_xlchart.v1.6" hidden="1">'Graph 1'!$G$2:$H$32</definedName>
    <definedName name="_xlchart.v1.7" hidden="1">'Graph 1'!$I$2:$I$32</definedName>
    <definedName name="_xlchart.v1.8" hidden="1">'Graph 2'!$G$2:$H$32</definedName>
    <definedName name="_xlchart.v1.9" hidden="1">'Graph 2'!$I$2:$I$32</definedName>
    <definedName name="Country_validationlist">OFFSET('Context variables'!$G$3,,,COUNTIF('Context variables'!$G$3:$G$250,"?*"))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D15" i="60" l="1"/>
  <c r="X15" i="60"/>
  <c r="V15" i="60"/>
  <c r="J27" i="2" l="1"/>
  <c r="J26" i="2"/>
  <c r="J25" i="2"/>
  <c r="J24" i="2"/>
  <c r="G14" i="76" l="1"/>
  <c r="G15" i="76"/>
  <c r="G16" i="76"/>
  <c r="AZ106" i="55"/>
  <c r="AZ105" i="55"/>
  <c r="AZ104" i="55"/>
  <c r="AZ103" i="55"/>
  <c r="AZ102" i="55"/>
  <c r="U105" i="55"/>
  <c r="U104" i="55"/>
  <c r="U103" i="55"/>
  <c r="U102" i="55"/>
  <c r="G105" i="55"/>
  <c r="G104" i="55"/>
  <c r="G103" i="55"/>
  <c r="G102" i="55"/>
  <c r="D222" i="76" l="1"/>
  <c r="E222" i="76"/>
  <c r="F222" i="76"/>
  <c r="G222" i="76" s="1"/>
  <c r="C4" i="77"/>
  <c r="C5" i="77"/>
  <c r="C6" i="77"/>
  <c r="C7" i="77"/>
  <c r="C8" i="77"/>
  <c r="C9" i="77"/>
  <c r="C10" i="77"/>
  <c r="C11" i="77"/>
  <c r="C12" i="77"/>
  <c r="C13" i="77"/>
  <c r="C14" i="77"/>
  <c r="C15" i="77"/>
  <c r="C16" i="77"/>
  <c r="C17" i="77"/>
  <c r="C18" i="77"/>
  <c r="C19" i="77"/>
  <c r="C20" i="77"/>
  <c r="C21" i="77"/>
  <c r="C22" i="77"/>
  <c r="C23" i="77"/>
  <c r="C24" i="77"/>
  <c r="C25" i="77"/>
  <c r="C26" i="77"/>
  <c r="C27" i="77"/>
  <c r="C28" i="77"/>
  <c r="C29" i="77"/>
  <c r="C30" i="77"/>
  <c r="C31" i="77"/>
  <c r="C32" i="77"/>
  <c r="C3" i="77"/>
  <c r="B4" i="77"/>
  <c r="B5" i="77"/>
  <c r="B6" i="77"/>
  <c r="B7" i="77"/>
  <c r="B8" i="77"/>
  <c r="B9" i="77"/>
  <c r="B10" i="77"/>
  <c r="B11" i="77"/>
  <c r="B12" i="77"/>
  <c r="B13" i="77"/>
  <c r="B14" i="77"/>
  <c r="B15" i="77"/>
  <c r="B16" i="77"/>
  <c r="B17" i="77"/>
  <c r="B18" i="77"/>
  <c r="B19" i="77"/>
  <c r="B20" i="77"/>
  <c r="B21" i="77"/>
  <c r="B22" i="77"/>
  <c r="B23" i="77"/>
  <c r="B24" i="77"/>
  <c r="B25" i="77"/>
  <c r="B26" i="77"/>
  <c r="B27" i="77"/>
  <c r="B28" i="77"/>
  <c r="B29" i="77"/>
  <c r="B30" i="77"/>
  <c r="B31" i="77"/>
  <c r="B32" i="77"/>
  <c r="B3" i="77"/>
  <c r="F299" i="76"/>
  <c r="G299" i="76" s="1"/>
  <c r="D299" i="76"/>
  <c r="E299" i="76" s="1"/>
  <c r="D300" i="76"/>
  <c r="E300" i="76" s="1"/>
  <c r="F300" i="76"/>
  <c r="G300" i="76" s="1"/>
  <c r="F298" i="76"/>
  <c r="G298" i="76" s="1"/>
  <c r="D298" i="76"/>
  <c r="E298" i="76" s="1"/>
  <c r="F297" i="76"/>
  <c r="G297" i="76" s="1"/>
  <c r="D297" i="76"/>
  <c r="E297" i="76" s="1"/>
  <c r="F296" i="76"/>
  <c r="G296" i="76" s="1"/>
  <c r="D296" i="76"/>
  <c r="E296" i="76" s="1"/>
  <c r="F295" i="76"/>
  <c r="G295" i="76" s="1"/>
  <c r="D295" i="76"/>
  <c r="E295" i="76" s="1"/>
  <c r="F294" i="76"/>
  <c r="G294" i="76" s="1"/>
  <c r="D294" i="76"/>
  <c r="E294" i="76" s="1"/>
  <c r="F293" i="76"/>
  <c r="G293" i="76" s="1"/>
  <c r="D293" i="76"/>
  <c r="E293" i="76" s="1"/>
  <c r="F292" i="76"/>
  <c r="G292" i="76" s="1"/>
  <c r="D292" i="76"/>
  <c r="E292" i="76" s="1"/>
  <c r="F291" i="76"/>
  <c r="G291" i="76" s="1"/>
  <c r="D291" i="76"/>
  <c r="E291" i="76" s="1"/>
  <c r="F290" i="76"/>
  <c r="G290" i="76" s="1"/>
  <c r="D290" i="76"/>
  <c r="E290" i="76" s="1"/>
  <c r="F289" i="76"/>
  <c r="G289" i="76" s="1"/>
  <c r="D289" i="76"/>
  <c r="E289" i="76" s="1"/>
  <c r="F288" i="76"/>
  <c r="G288" i="76" s="1"/>
  <c r="D288" i="76"/>
  <c r="E288" i="76" s="1"/>
  <c r="F287" i="76"/>
  <c r="G287" i="76" s="1"/>
  <c r="D287" i="76"/>
  <c r="E287" i="76" s="1"/>
  <c r="F286" i="76"/>
  <c r="G286" i="76" s="1"/>
  <c r="D286" i="76"/>
  <c r="E286" i="76" s="1"/>
  <c r="F285" i="76"/>
  <c r="G285" i="76" s="1"/>
  <c r="D285" i="76"/>
  <c r="E285" i="76" s="1"/>
  <c r="F284" i="76"/>
  <c r="G284" i="76" s="1"/>
  <c r="D284" i="76"/>
  <c r="E284" i="76" s="1"/>
  <c r="F283" i="76"/>
  <c r="G283" i="76" s="1"/>
  <c r="D283" i="76"/>
  <c r="E283" i="76" s="1"/>
  <c r="F282" i="76"/>
  <c r="G282" i="76" s="1"/>
  <c r="D282" i="76"/>
  <c r="E282" i="76" s="1"/>
  <c r="F281" i="76"/>
  <c r="G281" i="76" s="1"/>
  <c r="D281" i="76"/>
  <c r="E281" i="76" s="1"/>
  <c r="F278" i="76"/>
  <c r="G278" i="76" s="1"/>
  <c r="F277" i="76"/>
  <c r="G277" i="76" s="1"/>
  <c r="F276" i="76"/>
  <c r="G276" i="76" s="1"/>
  <c r="F275" i="76"/>
  <c r="G275" i="76" s="1"/>
  <c r="F274" i="76"/>
  <c r="G274" i="76" s="1"/>
  <c r="F273" i="76"/>
  <c r="G273" i="76" s="1"/>
  <c r="F272" i="76"/>
  <c r="G272" i="76" s="1"/>
  <c r="D272" i="76"/>
  <c r="D273" i="76"/>
  <c r="D274" i="76"/>
  <c r="D275" i="76"/>
  <c r="D276" i="76"/>
  <c r="D277" i="76"/>
  <c r="D278" i="76"/>
  <c r="D279" i="76"/>
  <c r="F279" i="76"/>
  <c r="G279" i="76" s="1"/>
  <c r="F262" i="76"/>
  <c r="G262" i="76" s="1"/>
  <c r="F261" i="76"/>
  <c r="G261" i="76" s="1"/>
  <c r="F260" i="76"/>
  <c r="G260" i="76" s="1"/>
  <c r="F259" i="76"/>
  <c r="G259" i="76" s="1"/>
  <c r="F258" i="76"/>
  <c r="G258" i="76" s="1"/>
  <c r="F257" i="76"/>
  <c r="G257" i="76" s="1"/>
  <c r="F256" i="76"/>
  <c r="G256" i="76" s="1"/>
  <c r="D256" i="76"/>
  <c r="D257" i="76"/>
  <c r="D258" i="76"/>
  <c r="D259" i="76"/>
  <c r="D260" i="76"/>
  <c r="D261" i="76"/>
  <c r="D262" i="76"/>
  <c r="D263" i="76"/>
  <c r="F263" i="76"/>
  <c r="G263" i="76" s="1"/>
  <c r="F246" i="76"/>
  <c r="G246" i="76" s="1"/>
  <c r="F245" i="76"/>
  <c r="G245" i="76" s="1"/>
  <c r="F244" i="76"/>
  <c r="G244" i="76" s="1"/>
  <c r="D244" i="76"/>
  <c r="D245" i="76"/>
  <c r="D246" i="76"/>
  <c r="D247" i="76"/>
  <c r="F247" i="76"/>
  <c r="G247" i="76" s="1"/>
  <c r="F238" i="76"/>
  <c r="G238" i="76" s="1"/>
  <c r="F237" i="76"/>
  <c r="G237" i="76" s="1"/>
  <c r="F236" i="76"/>
  <c r="G236" i="76" s="1"/>
  <c r="D236" i="76"/>
  <c r="D237" i="76"/>
  <c r="D238" i="76"/>
  <c r="D239" i="76"/>
  <c r="F239" i="76"/>
  <c r="G239" i="76" s="1"/>
  <c r="D203" i="76"/>
  <c r="F203" i="76"/>
  <c r="G203" i="76" s="1"/>
  <c r="D204" i="76"/>
  <c r="F204" i="76"/>
  <c r="G204" i="76" s="1"/>
  <c r="D205" i="76"/>
  <c r="F205" i="76"/>
  <c r="G205" i="76" s="1"/>
  <c r="D206" i="76"/>
  <c r="F206" i="76"/>
  <c r="G206" i="76" s="1"/>
  <c r="D207" i="76"/>
  <c r="F207" i="76"/>
  <c r="G207" i="76" s="1"/>
  <c r="D208" i="76"/>
  <c r="F208" i="76"/>
  <c r="G208" i="76" s="1"/>
  <c r="D209" i="76"/>
  <c r="F209" i="76"/>
  <c r="G209" i="76" s="1"/>
  <c r="D210" i="76"/>
  <c r="F210" i="76"/>
  <c r="G210" i="76" s="1"/>
  <c r="D211" i="76"/>
  <c r="F211" i="76"/>
  <c r="G211" i="76" s="1"/>
  <c r="D212" i="76"/>
  <c r="F212" i="76"/>
  <c r="G212" i="76" s="1"/>
  <c r="D213" i="76"/>
  <c r="F213" i="76"/>
  <c r="G213" i="76" s="1"/>
  <c r="D214" i="76"/>
  <c r="F214" i="76"/>
  <c r="G214" i="76" s="1"/>
  <c r="D215" i="76"/>
  <c r="F215" i="76"/>
  <c r="G215" i="76" s="1"/>
  <c r="D216" i="76"/>
  <c r="F216" i="76"/>
  <c r="G216" i="76" s="1"/>
  <c r="D217" i="76"/>
  <c r="F217" i="76"/>
  <c r="G217" i="76" s="1"/>
  <c r="D218" i="76"/>
  <c r="F218" i="76"/>
  <c r="G218" i="76" s="1"/>
  <c r="D219" i="76"/>
  <c r="F219" i="76"/>
  <c r="G219" i="76" s="1"/>
  <c r="D220" i="76"/>
  <c r="F220" i="76"/>
  <c r="G220" i="76" s="1"/>
  <c r="D221" i="76"/>
  <c r="F221" i="76"/>
  <c r="G221" i="76" s="1"/>
  <c r="D188" i="76"/>
  <c r="F188" i="76"/>
  <c r="D189" i="76"/>
  <c r="F189" i="76"/>
  <c r="D190" i="76"/>
  <c r="F190" i="76"/>
  <c r="D191" i="76"/>
  <c r="F191" i="76"/>
  <c r="D192" i="76"/>
  <c r="F192" i="76"/>
  <c r="D193" i="76"/>
  <c r="F193" i="76"/>
  <c r="D194" i="76"/>
  <c r="F194" i="76"/>
  <c r="D195" i="76"/>
  <c r="F195" i="76"/>
  <c r="D196" i="76"/>
  <c r="F196" i="76"/>
  <c r="D197" i="76"/>
  <c r="F197" i="76"/>
  <c r="D198" i="76"/>
  <c r="F198" i="76"/>
  <c r="D199" i="76"/>
  <c r="F199" i="76"/>
  <c r="D200" i="76"/>
  <c r="F200" i="76"/>
  <c r="D201" i="76"/>
  <c r="F201" i="76"/>
  <c r="D167" i="76"/>
  <c r="F167" i="76"/>
  <c r="G167" i="76" s="1"/>
  <c r="D168" i="76"/>
  <c r="F168" i="76"/>
  <c r="G168" i="76" s="1"/>
  <c r="D169" i="76"/>
  <c r="F169" i="76"/>
  <c r="G169" i="76" s="1"/>
  <c r="D170" i="76"/>
  <c r="F170" i="76"/>
  <c r="G170" i="76" s="1"/>
  <c r="D171" i="76"/>
  <c r="F171" i="76"/>
  <c r="G171" i="76" s="1"/>
  <c r="D172" i="76"/>
  <c r="F172" i="76"/>
  <c r="G172" i="76" s="1"/>
  <c r="D173" i="76"/>
  <c r="F173" i="76"/>
  <c r="G173" i="76" s="1"/>
  <c r="D174" i="76"/>
  <c r="F174" i="76"/>
  <c r="G174" i="76" s="1"/>
  <c r="D175" i="76"/>
  <c r="F175" i="76"/>
  <c r="G175" i="76" s="1"/>
  <c r="D176" i="76"/>
  <c r="F176" i="76"/>
  <c r="G176" i="76" s="1"/>
  <c r="D177" i="76"/>
  <c r="F177" i="76"/>
  <c r="G177" i="76" s="1"/>
  <c r="D178" i="76"/>
  <c r="F178" i="76"/>
  <c r="G178" i="76" s="1"/>
  <c r="D179" i="76"/>
  <c r="F179" i="76"/>
  <c r="G179" i="76" s="1"/>
  <c r="D180" i="76"/>
  <c r="F180" i="76"/>
  <c r="G180" i="76" s="1"/>
  <c r="D146" i="76"/>
  <c r="F146" i="76"/>
  <c r="G146" i="76" s="1"/>
  <c r="D147" i="76"/>
  <c r="F147" i="76"/>
  <c r="G147" i="76" s="1"/>
  <c r="D148" i="76"/>
  <c r="F148" i="76"/>
  <c r="G148" i="76" s="1"/>
  <c r="D149" i="76"/>
  <c r="F149" i="76"/>
  <c r="G149" i="76" s="1"/>
  <c r="D150" i="76"/>
  <c r="F150" i="76"/>
  <c r="G150" i="76" s="1"/>
  <c r="D151" i="76"/>
  <c r="F151" i="76"/>
  <c r="G151" i="76" s="1"/>
  <c r="D152" i="76"/>
  <c r="F152" i="76"/>
  <c r="G152" i="76" s="1"/>
  <c r="D153" i="76"/>
  <c r="F153" i="76"/>
  <c r="G153" i="76" s="1"/>
  <c r="D154" i="76"/>
  <c r="F154" i="76"/>
  <c r="G154" i="76" s="1"/>
  <c r="D155" i="76"/>
  <c r="F155" i="76"/>
  <c r="G155" i="76" s="1"/>
  <c r="D156" i="76"/>
  <c r="F156" i="76"/>
  <c r="G156" i="76" s="1"/>
  <c r="D157" i="76"/>
  <c r="F157" i="76"/>
  <c r="G157" i="76" s="1"/>
  <c r="D158" i="76"/>
  <c r="F158" i="76"/>
  <c r="G158" i="76" s="1"/>
  <c r="D159" i="76"/>
  <c r="F159" i="76"/>
  <c r="G159" i="76" s="1"/>
  <c r="D125" i="76"/>
  <c r="F125" i="76"/>
  <c r="G125" i="76" s="1"/>
  <c r="D126" i="76"/>
  <c r="F126" i="76"/>
  <c r="G126" i="76" s="1"/>
  <c r="D127" i="76"/>
  <c r="F127" i="76"/>
  <c r="G127" i="76" s="1"/>
  <c r="D128" i="76"/>
  <c r="F128" i="76"/>
  <c r="G128" i="76" s="1"/>
  <c r="D129" i="76"/>
  <c r="F129" i="76"/>
  <c r="G129" i="76" s="1"/>
  <c r="G192" i="76" s="1"/>
  <c r="D130" i="76"/>
  <c r="F130" i="76"/>
  <c r="G130" i="76" s="1"/>
  <c r="D131" i="76"/>
  <c r="F131" i="76"/>
  <c r="G131" i="76" s="1"/>
  <c r="D132" i="76"/>
  <c r="F132" i="76"/>
  <c r="G132" i="76" s="1"/>
  <c r="D133" i="76"/>
  <c r="F133" i="76"/>
  <c r="G133" i="76" s="1"/>
  <c r="D134" i="76"/>
  <c r="F134" i="76"/>
  <c r="G134" i="76" s="1"/>
  <c r="D135" i="76"/>
  <c r="F135" i="76"/>
  <c r="G135" i="76" s="1"/>
  <c r="D136" i="76"/>
  <c r="F136" i="76"/>
  <c r="G136" i="76" s="1"/>
  <c r="D137" i="76"/>
  <c r="F137" i="76"/>
  <c r="G137" i="76" s="1"/>
  <c r="D138" i="76"/>
  <c r="F138" i="76"/>
  <c r="G138" i="76" s="1"/>
  <c r="G201" i="76" s="1"/>
  <c r="F116" i="76"/>
  <c r="G116" i="76" s="1"/>
  <c r="F115" i="76"/>
  <c r="G115" i="76" s="1"/>
  <c r="F114" i="76"/>
  <c r="G114" i="76" s="1"/>
  <c r="F113" i="76"/>
  <c r="G113" i="76" s="1"/>
  <c r="F112" i="76"/>
  <c r="G112" i="76" s="1"/>
  <c r="F111" i="76"/>
  <c r="G111" i="76" s="1"/>
  <c r="D111" i="76"/>
  <c r="D112" i="76"/>
  <c r="D113" i="76"/>
  <c r="D114" i="76"/>
  <c r="D115" i="76"/>
  <c r="D116" i="76"/>
  <c r="D117" i="76"/>
  <c r="F117" i="76"/>
  <c r="G117" i="76" s="1"/>
  <c r="F103" i="76"/>
  <c r="G103" i="76" s="1"/>
  <c r="F102" i="76"/>
  <c r="G102" i="76" s="1"/>
  <c r="F101" i="76"/>
  <c r="G101" i="76" s="1"/>
  <c r="F100" i="76"/>
  <c r="G100" i="76" s="1"/>
  <c r="F99" i="76"/>
  <c r="G99" i="76" s="1"/>
  <c r="F98" i="76"/>
  <c r="G98" i="76" s="1"/>
  <c r="F97" i="76"/>
  <c r="G97" i="76" s="1"/>
  <c r="D97" i="76"/>
  <c r="D98" i="76"/>
  <c r="D99" i="76"/>
  <c r="D100" i="76"/>
  <c r="D101" i="76"/>
  <c r="D102" i="76"/>
  <c r="D103" i="76"/>
  <c r="F88" i="76"/>
  <c r="G88" i="76" s="1"/>
  <c r="F87" i="76"/>
  <c r="G87" i="76" s="1"/>
  <c r="F86" i="76"/>
  <c r="G86" i="76" s="1"/>
  <c r="D86" i="76"/>
  <c r="D87" i="76"/>
  <c r="D88" i="76"/>
  <c r="D89" i="76"/>
  <c r="F89" i="76"/>
  <c r="G89" i="76" s="1"/>
  <c r="F79" i="76"/>
  <c r="G79" i="76" s="1"/>
  <c r="D79" i="76"/>
  <c r="D80" i="76"/>
  <c r="F80" i="76"/>
  <c r="G80" i="76" s="1"/>
  <c r="D81" i="76"/>
  <c r="F81" i="76"/>
  <c r="G81" i="76" s="1"/>
  <c r="D59" i="76"/>
  <c r="F59" i="76"/>
  <c r="G59" i="76" s="1"/>
  <c r="D60" i="76"/>
  <c r="F60" i="76"/>
  <c r="G60" i="76" s="1"/>
  <c r="D61" i="76"/>
  <c r="F61" i="76"/>
  <c r="G61" i="76" s="1"/>
  <c r="D62" i="76"/>
  <c r="F62" i="76"/>
  <c r="G62" i="76" s="1"/>
  <c r="D63" i="76"/>
  <c r="F63" i="76"/>
  <c r="G63" i="76" s="1"/>
  <c r="D64" i="76"/>
  <c r="F64" i="76"/>
  <c r="G64" i="76" s="1"/>
  <c r="D65" i="76"/>
  <c r="F65" i="76"/>
  <c r="G65" i="76" s="1"/>
  <c r="D66" i="76"/>
  <c r="F66" i="76"/>
  <c r="G66" i="76" s="1"/>
  <c r="D67" i="76"/>
  <c r="F67" i="76"/>
  <c r="G67" i="76" s="1"/>
  <c r="D68" i="76"/>
  <c r="F68" i="76"/>
  <c r="G68" i="76" s="1"/>
  <c r="D55" i="76"/>
  <c r="F55" i="76"/>
  <c r="G55" i="76" s="1"/>
  <c r="D56" i="76"/>
  <c r="F56" i="76"/>
  <c r="G56" i="76" s="1"/>
  <c r="D46" i="76"/>
  <c r="F46" i="76"/>
  <c r="G46" i="76" s="1"/>
  <c r="D47" i="76"/>
  <c r="F47" i="76"/>
  <c r="G47" i="76" s="1"/>
  <c r="F42" i="76"/>
  <c r="G42" i="76" s="1"/>
  <c r="F40" i="76"/>
  <c r="G40" i="76" s="1"/>
  <c r="D40" i="76"/>
  <c r="D41" i="76"/>
  <c r="F41" i="76"/>
  <c r="G41" i="76" s="1"/>
  <c r="D42" i="76"/>
  <c r="D43" i="76"/>
  <c r="F43" i="76"/>
  <c r="G43" i="76" s="1"/>
  <c r="F35" i="76"/>
  <c r="G35" i="76" s="1"/>
  <c r="F34" i="76"/>
  <c r="G34" i="76" s="1"/>
  <c r="F33" i="76"/>
  <c r="G33" i="76" s="1"/>
  <c r="F32" i="76"/>
  <c r="G32" i="76" s="1"/>
  <c r="F31" i="76"/>
  <c r="G31" i="76" s="1"/>
  <c r="F30" i="76"/>
  <c r="G30" i="76" s="1"/>
  <c r="F29" i="76"/>
  <c r="G29" i="76" s="1"/>
  <c r="D29" i="76"/>
  <c r="D30" i="76"/>
  <c r="D31" i="76"/>
  <c r="D32" i="76"/>
  <c r="D33" i="76"/>
  <c r="D34" i="76"/>
  <c r="D35" i="76"/>
  <c r="F20" i="76"/>
  <c r="G20" i="76" s="1"/>
  <c r="F19" i="76"/>
  <c r="G19" i="76" s="1"/>
  <c r="F18" i="76"/>
  <c r="G18" i="76" s="1"/>
  <c r="F17" i="76"/>
  <c r="G17" i="76" s="1"/>
  <c r="F21" i="76"/>
  <c r="G21" i="76" s="1"/>
  <c r="D17" i="76"/>
  <c r="D18" i="76"/>
  <c r="D19" i="76"/>
  <c r="D20" i="76"/>
  <c r="D21" i="76"/>
  <c r="F280" i="76"/>
  <c r="F271" i="76"/>
  <c r="G271" i="76" s="1"/>
  <c r="F270" i="76"/>
  <c r="G270" i="76" s="1"/>
  <c r="F269" i="76"/>
  <c r="G269" i="76" s="1"/>
  <c r="F268" i="76"/>
  <c r="G268" i="76" s="1"/>
  <c r="F267" i="76"/>
  <c r="G267" i="76" s="1"/>
  <c r="F266" i="76"/>
  <c r="G266" i="76" s="1"/>
  <c r="F265" i="76"/>
  <c r="G265" i="76" s="1"/>
  <c r="F264" i="76"/>
  <c r="G264" i="76" s="1"/>
  <c r="F255" i="76"/>
  <c r="F254" i="76"/>
  <c r="F253" i="76"/>
  <c r="F252" i="76"/>
  <c r="F251" i="76"/>
  <c r="F250" i="76"/>
  <c r="F249" i="76"/>
  <c r="F248" i="76"/>
  <c r="F243" i="76"/>
  <c r="F242" i="76"/>
  <c r="F241" i="76"/>
  <c r="F240" i="76"/>
  <c r="F235" i="76"/>
  <c r="F234" i="76"/>
  <c r="F233" i="76"/>
  <c r="F232" i="76"/>
  <c r="F231" i="76"/>
  <c r="F230" i="76"/>
  <c r="F229" i="76"/>
  <c r="F228" i="76"/>
  <c r="F227" i="76"/>
  <c r="F226" i="76"/>
  <c r="F225" i="76"/>
  <c r="F224" i="76"/>
  <c r="F223" i="76"/>
  <c r="F202" i="76"/>
  <c r="F187" i="76"/>
  <c r="F186" i="76"/>
  <c r="F185" i="76"/>
  <c r="F184" i="76"/>
  <c r="F183" i="76"/>
  <c r="F182" i="76"/>
  <c r="F181" i="76"/>
  <c r="F166" i="76"/>
  <c r="F165" i="76"/>
  <c r="F164" i="76"/>
  <c r="F163" i="76"/>
  <c r="F162" i="76"/>
  <c r="F161" i="76"/>
  <c r="F160" i="76"/>
  <c r="F145" i="76"/>
  <c r="F144" i="76"/>
  <c r="F143" i="76"/>
  <c r="F142" i="76"/>
  <c r="F141" i="76"/>
  <c r="F140" i="76"/>
  <c r="F139" i="76"/>
  <c r="F124" i="76"/>
  <c r="F123" i="76"/>
  <c r="F122" i="76"/>
  <c r="F121" i="76"/>
  <c r="F120" i="76"/>
  <c r="F119" i="76"/>
  <c r="F118" i="76"/>
  <c r="F110" i="76"/>
  <c r="G110" i="76" s="1"/>
  <c r="F109" i="76"/>
  <c r="G109" i="76" s="1"/>
  <c r="F108" i="76"/>
  <c r="G108" i="76" s="1"/>
  <c r="F107" i="76"/>
  <c r="G107" i="76" s="1"/>
  <c r="F106" i="76"/>
  <c r="G106" i="76" s="1"/>
  <c r="F105" i="76"/>
  <c r="G105" i="76" s="1"/>
  <c r="F104" i="76"/>
  <c r="G104" i="76" s="1"/>
  <c r="F96" i="76"/>
  <c r="F95" i="76"/>
  <c r="F94" i="76"/>
  <c r="F93" i="76"/>
  <c r="F92" i="76"/>
  <c r="F91" i="76"/>
  <c r="F90" i="76"/>
  <c r="F85" i="76"/>
  <c r="F84" i="76"/>
  <c r="F83" i="76"/>
  <c r="F82" i="76"/>
  <c r="F78" i="76"/>
  <c r="F77" i="76"/>
  <c r="F76" i="76"/>
  <c r="F75" i="76"/>
  <c r="F74" i="76"/>
  <c r="F73" i="76"/>
  <c r="F72" i="76"/>
  <c r="F71" i="76"/>
  <c r="F70" i="76"/>
  <c r="F69" i="76"/>
  <c r="F58" i="76"/>
  <c r="F57" i="76"/>
  <c r="F54" i="76"/>
  <c r="F53" i="76"/>
  <c r="F52" i="76"/>
  <c r="F51" i="76"/>
  <c r="F50" i="76"/>
  <c r="F49" i="76"/>
  <c r="F48" i="76"/>
  <c r="F45" i="76"/>
  <c r="G45" i="76" s="1"/>
  <c r="F44" i="76"/>
  <c r="G44" i="76" s="1"/>
  <c r="F39" i="76"/>
  <c r="F38" i="76"/>
  <c r="F37" i="76"/>
  <c r="F36" i="76"/>
  <c r="F28" i="76"/>
  <c r="G28" i="76" s="1"/>
  <c r="F27" i="76"/>
  <c r="G27" i="76" s="1"/>
  <c r="F26" i="76"/>
  <c r="G26" i="76" s="1"/>
  <c r="F25" i="76"/>
  <c r="G25" i="76" s="1"/>
  <c r="F24" i="76"/>
  <c r="G24" i="76" s="1"/>
  <c r="F23" i="76"/>
  <c r="G23" i="76" s="1"/>
  <c r="F22" i="76"/>
  <c r="G22" i="76" s="1"/>
  <c r="F16" i="76"/>
  <c r="F15" i="76"/>
  <c r="F14" i="76"/>
  <c r="F13" i="76"/>
  <c r="F12" i="76"/>
  <c r="F11" i="76"/>
  <c r="F10" i="76"/>
  <c r="F9" i="76"/>
  <c r="F8" i="76"/>
  <c r="F7" i="76"/>
  <c r="F6" i="76"/>
  <c r="F5" i="76"/>
  <c r="F4" i="76"/>
  <c r="F3" i="76"/>
  <c r="F2" i="76"/>
  <c r="D264" i="76"/>
  <c r="D265" i="76"/>
  <c r="D266" i="76"/>
  <c r="D267" i="76"/>
  <c r="D268" i="76"/>
  <c r="D269" i="76"/>
  <c r="D270" i="76"/>
  <c r="D271" i="76"/>
  <c r="D109" i="76"/>
  <c r="D110" i="76"/>
  <c r="D106" i="76"/>
  <c r="D107" i="76"/>
  <c r="D108" i="76"/>
  <c r="D104" i="76"/>
  <c r="D105" i="76"/>
  <c r="D44" i="76"/>
  <c r="D45" i="76"/>
  <c r="L33" i="2"/>
  <c r="L34" i="2" s="1"/>
  <c r="G197" i="76" l="1"/>
  <c r="G196" i="76"/>
  <c r="G188" i="76"/>
  <c r="G199" i="76"/>
  <c r="G193" i="76"/>
  <c r="G200" i="76"/>
  <c r="G189" i="76"/>
  <c r="G198" i="76"/>
  <c r="H2" i="78" l="1"/>
  <c r="B3" i="78"/>
  <c r="B47" i="78"/>
  <c r="B54" i="78"/>
  <c r="B55" i="78"/>
  <c r="B62" i="78"/>
  <c r="B71" i="78"/>
  <c r="B80" i="78"/>
  <c r="B98" i="78"/>
  <c r="B104" i="78"/>
  <c r="B118" i="78"/>
  <c r="B128" i="78"/>
  <c r="B131" i="78"/>
  <c r="B149" i="78"/>
  <c r="B151" i="78"/>
  <c r="B161" i="78"/>
  <c r="B163" i="78"/>
  <c r="B174" i="78"/>
  <c r="B175" i="78"/>
  <c r="B179" i="78"/>
  <c r="B183" i="78"/>
  <c r="B201" i="78"/>
  <c r="B218" i="78"/>
  <c r="B223" i="78"/>
  <c r="B224" i="78"/>
  <c r="B229" i="78"/>
  <c r="B248" i="78"/>
  <c r="B4" i="78" l="1"/>
  <c r="B5" i="78" l="1"/>
  <c r="B6" i="78" l="1"/>
  <c r="B7" i="78" l="1"/>
  <c r="B8" i="78" l="1"/>
  <c r="B9" i="78" l="1"/>
  <c r="B10" i="78" l="1"/>
  <c r="B11" i="78"/>
  <c r="B12" i="78" l="1"/>
  <c r="B13" i="78" l="1"/>
  <c r="B14" i="78" l="1"/>
  <c r="B15" i="78" s="1"/>
  <c r="B16" i="78" s="1"/>
  <c r="B17" i="78" s="1"/>
  <c r="B18" i="78" s="1"/>
  <c r="B19" i="78" s="1"/>
  <c r="B20" i="78" s="1"/>
  <c r="B21" i="78" l="1"/>
  <c r="B22" i="78" s="1"/>
  <c r="B23" i="78" s="1"/>
  <c r="B24" i="78" s="1"/>
  <c r="B25" i="78" s="1"/>
  <c r="B26" i="78" l="1"/>
  <c r="B27" i="78" s="1"/>
  <c r="B28" i="78" s="1"/>
  <c r="B29" i="78" s="1"/>
  <c r="B30" i="78" s="1"/>
  <c r="B31" i="78" s="1"/>
  <c r="B32" i="78" s="1"/>
  <c r="B33" i="78" s="1"/>
  <c r="B34" i="78" s="1"/>
  <c r="B35" i="78" s="1"/>
  <c r="B36" i="78" s="1"/>
  <c r="B37" i="78" s="1"/>
  <c r="B38" i="78" l="1"/>
  <c r="B39" i="78" l="1"/>
  <c r="B40" i="78" s="1"/>
  <c r="B41" i="78" s="1"/>
  <c r="B42" i="78" s="1"/>
  <c r="B43" i="78" s="1"/>
  <c r="B44" i="78" s="1"/>
  <c r="B45" i="78" s="1"/>
  <c r="B46" i="78" s="1"/>
  <c r="B48" i="78" s="1"/>
  <c r="B49" i="78" s="1"/>
  <c r="B50" i="78" s="1"/>
  <c r="B51" i="78" s="1"/>
  <c r="B52" i="78" s="1"/>
  <c r="B53" i="78" s="1"/>
  <c r="B56" i="78" s="1"/>
  <c r="B57" i="78" s="1"/>
  <c r="B58" i="78" l="1"/>
  <c r="B67" i="78"/>
  <c r="B59" i="78" l="1"/>
  <c r="B60" i="78" s="1"/>
  <c r="B61" i="78" s="1"/>
  <c r="B63" i="78" s="1"/>
  <c r="B64" i="78" s="1"/>
  <c r="B65" i="78" s="1"/>
  <c r="B66" i="78" l="1"/>
  <c r="B68" i="78" s="1"/>
  <c r="B69" i="78" l="1"/>
  <c r="B70" i="78" s="1"/>
  <c r="B72" i="78" l="1"/>
  <c r="B73" i="78" s="1"/>
  <c r="B74" i="78" l="1"/>
  <c r="B75" i="78" l="1"/>
  <c r="B76" i="78" l="1"/>
  <c r="B77" i="78" l="1"/>
  <c r="B78" i="78" l="1"/>
  <c r="B79" i="78" s="1"/>
  <c r="B81" i="78" l="1"/>
  <c r="B82" i="78" s="1"/>
  <c r="B83" i="78" s="1"/>
  <c r="B84" i="78" s="1"/>
  <c r="B86" i="78" l="1"/>
  <c r="B87" i="78" s="1"/>
  <c r="B88" i="78" s="1"/>
  <c r="B89" i="78" s="1"/>
  <c r="B90" i="78" s="1"/>
  <c r="B85" i="78"/>
  <c r="B91" i="78" l="1"/>
  <c r="B92" i="78" s="1"/>
  <c r="B93" i="78" l="1"/>
  <c r="B94" i="78" s="1"/>
  <c r="B95" i="78" s="1"/>
  <c r="B96" i="78" s="1"/>
  <c r="B97" i="78" s="1"/>
  <c r="B99" i="78" s="1"/>
  <c r="B100" i="78" s="1"/>
  <c r="B101" i="78" s="1"/>
  <c r="B102" i="78" s="1"/>
  <c r="B103" i="78" l="1"/>
  <c r="B105" i="78" s="1"/>
  <c r="B106" i="78" s="1"/>
  <c r="B107" i="78" l="1"/>
  <c r="B108" i="78" s="1"/>
  <c r="B109" i="78" s="1"/>
  <c r="B110" i="78" s="1"/>
  <c r="B111" i="78" s="1"/>
  <c r="B112" i="78" s="1"/>
  <c r="B113" i="78" s="1"/>
  <c r="B114" i="78" s="1"/>
  <c r="B115" i="78" s="1"/>
  <c r="B116" i="78" s="1"/>
  <c r="B117" i="78" s="1"/>
  <c r="B119" i="78" s="1"/>
  <c r="B120" i="78" s="1"/>
  <c r="B121" i="78" s="1"/>
  <c r="B122" i="78" s="1"/>
  <c r="B123" i="78" s="1"/>
  <c r="B124" i="78" s="1"/>
  <c r="B125" i="78" s="1"/>
  <c r="B126" i="78" s="1"/>
  <c r="B127" i="78" s="1"/>
  <c r="B129" i="78" s="1"/>
  <c r="B130" i="78" s="1"/>
  <c r="B132" i="78" s="1"/>
  <c r="B133" i="78" s="1"/>
  <c r="B134" i="78" l="1"/>
  <c r="B135" i="78" l="1"/>
  <c r="B136" i="78" s="1"/>
  <c r="B137" i="78" s="1"/>
  <c r="B138" i="78" s="1"/>
  <c r="B139" i="78" s="1"/>
  <c r="B140" i="78" l="1"/>
  <c r="B141" i="78" s="1"/>
  <c r="B142" i="78" l="1"/>
  <c r="B143" i="78" s="1"/>
  <c r="B144" i="78" s="1"/>
  <c r="B145" i="78" l="1"/>
  <c r="B146" i="78" s="1"/>
  <c r="B147" i="78" l="1"/>
  <c r="B148" i="78" s="1"/>
  <c r="B150" i="78" s="1"/>
  <c r="B152" i="78" s="1"/>
  <c r="B153" i="78" l="1"/>
  <c r="B154" i="78" s="1"/>
  <c r="B155" i="78" s="1"/>
  <c r="B156" i="78" s="1"/>
  <c r="B157" i="78" s="1"/>
  <c r="B158" i="78" s="1"/>
  <c r="B159" i="78" s="1"/>
  <c r="B160" i="78" l="1"/>
  <c r="B162" i="78" s="1"/>
  <c r="B164" i="78" s="1"/>
  <c r="B165" i="78" s="1"/>
  <c r="B166" i="78" l="1"/>
  <c r="B167" i="78" l="1"/>
  <c r="B168" i="78" s="1"/>
  <c r="B169" i="78" s="1"/>
  <c r="B170" i="78" s="1"/>
  <c r="B171" i="78" s="1"/>
  <c r="B172" i="78" s="1"/>
  <c r="B173" i="78" l="1"/>
  <c r="B176" i="78" l="1"/>
  <c r="B177" i="78" s="1"/>
  <c r="B178" i="78" s="1"/>
  <c r="B180" i="78" l="1"/>
  <c r="B181" i="78" l="1"/>
  <c r="B182" i="78" s="1"/>
  <c r="B184" i="78" s="1"/>
  <c r="B185" i="78" s="1"/>
  <c r="B186" i="78" s="1"/>
  <c r="B187" i="78" l="1"/>
  <c r="B188" i="78" l="1"/>
  <c r="B189" i="78" s="1"/>
  <c r="B190" i="78" s="1"/>
  <c r="B191" i="78" s="1"/>
  <c r="B192" i="78" l="1"/>
  <c r="B193" i="78" s="1"/>
  <c r="B194" i="78" s="1"/>
  <c r="B195" i="78" l="1"/>
  <c r="B196" i="78" l="1"/>
  <c r="B197" i="78" s="1"/>
  <c r="B198" i="78" s="1"/>
  <c r="B199" i="78" l="1"/>
  <c r="B200" i="78" s="1"/>
  <c r="B202" i="78" s="1"/>
  <c r="B203" i="78" s="1"/>
  <c r="B204" i="78" l="1"/>
  <c r="B205" i="78" l="1"/>
  <c r="B206" i="78" s="1"/>
  <c r="B207" i="78" s="1"/>
  <c r="B208" i="78" s="1"/>
  <c r="B209" i="78" s="1"/>
  <c r="B210" i="78" s="1"/>
  <c r="B211" i="78" s="1"/>
  <c r="B212" i="78" s="1"/>
  <c r="B213" i="78" s="1"/>
  <c r="B214" i="78" s="1"/>
  <c r="B215" i="78" s="1"/>
  <c r="B216" i="78" s="1"/>
  <c r="B217" i="78" l="1"/>
  <c r="B219" i="78" l="1"/>
  <c r="B220" i="78" s="1"/>
  <c r="B221" i="78" l="1"/>
  <c r="B222" i="78" s="1"/>
  <c r="B225" i="78" s="1"/>
  <c r="B226" i="78" s="1"/>
  <c r="B227" i="78" s="1"/>
  <c r="B228" i="78" s="1"/>
  <c r="B230" i="78" s="1"/>
  <c r="B231" i="78" s="1"/>
  <c r="B232" i="78" s="1"/>
  <c r="B233" i="78" s="1"/>
  <c r="B234" i="78" s="1"/>
  <c r="B235" i="78" l="1"/>
  <c r="B236" i="78" l="1"/>
  <c r="B237" i="78" s="1"/>
  <c r="B238" i="78" s="1"/>
  <c r="B239" i="78" s="1"/>
  <c r="B240" i="78" s="1"/>
  <c r="B241" i="78" s="1"/>
  <c r="B242" i="78" s="1"/>
  <c r="B243" i="78" s="1"/>
  <c r="B244" i="78" s="1"/>
  <c r="B245" i="78" s="1"/>
  <c r="B246" i="78" s="1"/>
  <c r="B247" i="78" l="1"/>
  <c r="B249" i="78" s="1"/>
  <c r="B250" i="78" s="1"/>
  <c r="G3" i="78" s="1"/>
  <c r="G4" i="78" l="1"/>
  <c r="G153" i="78"/>
  <c r="G14" i="78"/>
  <c r="G94" i="78"/>
  <c r="G59" i="78"/>
  <c r="G82" i="78"/>
  <c r="G88" i="78"/>
  <c r="G36" i="78"/>
  <c r="G98" i="78"/>
  <c r="G247" i="78"/>
  <c r="G28" i="78"/>
  <c r="G242" i="78"/>
  <c r="G169" i="78"/>
  <c r="G183" i="78"/>
  <c r="G246" i="78"/>
  <c r="G24" i="78"/>
  <c r="G238" i="78"/>
  <c r="G34" i="78"/>
  <c r="G178" i="78"/>
  <c r="G20" i="78"/>
  <c r="G146" i="78"/>
  <c r="G50" i="78"/>
  <c r="G105" i="78"/>
  <c r="G239" i="78"/>
  <c r="G49" i="78"/>
  <c r="G103" i="78"/>
  <c r="G19" i="78"/>
  <c r="G100" i="78"/>
  <c r="G197" i="78"/>
  <c r="G133" i="78"/>
  <c r="G176" i="78"/>
  <c r="G194" i="78"/>
  <c r="G148" i="78"/>
  <c r="G118" i="78"/>
  <c r="G191" i="78"/>
  <c r="G96" i="78"/>
  <c r="G217" i="78"/>
  <c r="G27" i="78"/>
  <c r="G158" i="78"/>
  <c r="G7" i="78"/>
  <c r="G121" i="78"/>
  <c r="G63" i="78"/>
  <c r="G225" i="78"/>
  <c r="G214" i="78"/>
  <c r="G241" i="78"/>
  <c r="G150" i="78"/>
  <c r="G135" i="78"/>
  <c r="G138" i="78"/>
  <c r="G93" i="78"/>
  <c r="G73" i="78"/>
  <c r="G51" i="78"/>
  <c r="G151" i="78"/>
  <c r="G234" i="78"/>
  <c r="G58" i="78"/>
  <c r="G69" i="78"/>
  <c r="G156" i="78"/>
  <c r="G79" i="78"/>
  <c r="G30" i="78"/>
  <c r="G97" i="78"/>
  <c r="G56" i="78"/>
  <c r="G220" i="78"/>
  <c r="G91" i="78"/>
  <c r="G43" i="78"/>
  <c r="G141" i="78"/>
  <c r="G152" i="78"/>
  <c r="G33" i="78"/>
  <c r="G162" i="78"/>
  <c r="G46" i="78"/>
  <c r="G160" i="78"/>
  <c r="G184" i="78"/>
  <c r="G137" i="78"/>
  <c r="G124" i="78"/>
  <c r="G80" i="78"/>
  <c r="G249" i="78"/>
  <c r="G230" i="78"/>
  <c r="G237" i="78"/>
  <c r="G202" i="78"/>
  <c r="G74" i="78"/>
  <c r="G159" i="78"/>
  <c r="G127" i="78"/>
  <c r="G84" i="78"/>
  <c r="G78" i="78"/>
  <c r="G129" i="78"/>
  <c r="G113" i="78"/>
  <c r="G142" i="78"/>
  <c r="G101" i="78"/>
  <c r="G143" i="78"/>
  <c r="G45" i="78"/>
  <c r="G170" i="78"/>
  <c r="G182" i="78"/>
  <c r="G165" i="78"/>
  <c r="G196" i="78"/>
  <c r="G22" i="78"/>
  <c r="G40" i="78"/>
  <c r="G213" i="78"/>
  <c r="G71" i="78"/>
  <c r="G120" i="78"/>
  <c r="G92" i="78"/>
  <c r="G166" i="78"/>
  <c r="G38" i="78"/>
  <c r="G130" i="78"/>
  <c r="G212" i="78"/>
  <c r="G221" i="78"/>
  <c r="G192" i="78"/>
  <c r="G240" i="78"/>
  <c r="G248" i="78"/>
  <c r="G102" i="78"/>
  <c r="G235" i="78"/>
  <c r="G226" i="78"/>
  <c r="G175" i="78"/>
  <c r="G18" i="78"/>
  <c r="G5" i="78"/>
  <c r="G23" i="78"/>
  <c r="G25" i="78"/>
  <c r="G155" i="78"/>
  <c r="G70" i="78"/>
  <c r="G185" i="78"/>
  <c r="G75" i="78"/>
  <c r="G77" i="78"/>
  <c r="G117" i="78"/>
  <c r="G229" i="78"/>
  <c r="G104" i="78"/>
  <c r="G144" i="78"/>
  <c r="G17" i="78"/>
  <c r="G190" i="78"/>
  <c r="G48" i="78"/>
  <c r="G47" i="78"/>
  <c r="G109" i="78"/>
  <c r="G228" i="78"/>
  <c r="G12" i="78"/>
  <c r="G42" i="78"/>
  <c r="G26" i="78"/>
  <c r="G11" i="78"/>
  <c r="G193" i="78"/>
  <c r="G231" i="78"/>
  <c r="G232" i="78"/>
  <c r="G134" i="78"/>
  <c r="G64" i="78"/>
  <c r="G72" i="78"/>
  <c r="G76" i="78"/>
  <c r="G41" i="78"/>
  <c r="G139" i="78"/>
  <c r="G32" i="78"/>
  <c r="G206" i="78"/>
  <c r="G180" i="78"/>
  <c r="G125" i="78"/>
  <c r="G140" i="78"/>
  <c r="G188" i="78"/>
  <c r="G66" i="78"/>
  <c r="G111" i="78"/>
  <c r="G245" i="78"/>
  <c r="G216" i="78"/>
  <c r="G95" i="78"/>
  <c r="G250" i="78"/>
  <c r="G219" i="78"/>
  <c r="G68" i="78"/>
  <c r="G177" i="78"/>
  <c r="G203" i="78"/>
  <c r="G87" i="78"/>
  <c r="G119" i="78"/>
  <c r="G9" i="78"/>
  <c r="G154" i="78"/>
  <c r="G37" i="78"/>
  <c r="G208" i="78"/>
  <c r="G199" i="78"/>
  <c r="G218" i="78"/>
  <c r="G145" i="78"/>
  <c r="G173" i="78"/>
  <c r="G136" i="78"/>
  <c r="G13" i="78"/>
  <c r="G128" i="78"/>
  <c r="G164" i="78"/>
  <c r="G187" i="78"/>
  <c r="G61" i="78"/>
  <c r="G195" i="78"/>
  <c r="G174" i="78"/>
  <c r="G189" i="78"/>
  <c r="G53" i="78"/>
  <c r="G157" i="78"/>
  <c r="G223" i="78"/>
  <c r="G60" i="78"/>
  <c r="G233" i="78"/>
  <c r="G201" i="78"/>
  <c r="G21" i="78"/>
  <c r="G15" i="78"/>
  <c r="G198" i="78"/>
  <c r="G210" i="78"/>
  <c r="G236" i="78"/>
  <c r="G149" i="78"/>
  <c r="G67" i="78"/>
  <c r="G114" i="78"/>
  <c r="G215" i="78"/>
  <c r="G112" i="78"/>
  <c r="G186" i="78"/>
  <c r="G204" i="78"/>
  <c r="G200" i="78"/>
  <c r="G222" i="78"/>
  <c r="G122" i="78"/>
  <c r="G10" i="78"/>
  <c r="G110" i="78"/>
  <c r="G6" i="78"/>
  <c r="G123" i="78"/>
  <c r="G224" i="78"/>
  <c r="G65" i="78"/>
  <c r="G205" i="78"/>
  <c r="G89" i="78"/>
  <c r="G16" i="78"/>
  <c r="G86" i="78"/>
  <c r="G227" i="78"/>
  <c r="G39" i="78"/>
  <c r="G161" i="78"/>
  <c r="G54" i="78"/>
  <c r="G172" i="78"/>
  <c r="G132" i="78"/>
  <c r="G106" i="78"/>
  <c r="G209" i="78"/>
  <c r="G207" i="78"/>
  <c r="G116" i="78"/>
  <c r="G167" i="78"/>
  <c r="G85" i="78"/>
  <c r="G211" i="78"/>
  <c r="G55" i="78"/>
  <c r="G31" i="78"/>
  <c r="G181" i="78"/>
  <c r="G35" i="78"/>
  <c r="G163" i="78"/>
  <c r="G115" i="78"/>
  <c r="G126" i="78"/>
  <c r="G168" i="78"/>
  <c r="G108" i="78"/>
  <c r="G107" i="78"/>
  <c r="G29" i="78"/>
  <c r="G62" i="78"/>
  <c r="G81" i="78"/>
  <c r="G52" i="78"/>
  <c r="G83" i="78"/>
  <c r="G90" i="78"/>
  <c r="G8" i="78"/>
  <c r="G244" i="78"/>
  <c r="G131" i="78"/>
  <c r="G171" i="78"/>
  <c r="G243" i="78"/>
  <c r="G147" i="78"/>
  <c r="G57" i="78"/>
  <c r="G99" i="78"/>
  <c r="G179" i="78"/>
  <c r="G44" i="78"/>
  <c r="F2" i="78" l="1"/>
  <c r="F3" i="78"/>
  <c r="G24" i="52" l="1"/>
  <c r="W4" i="77" l="1"/>
  <c r="W5" i="77"/>
  <c r="W6" i="77"/>
  <c r="W7" i="77"/>
  <c r="W8" i="77"/>
  <c r="W9" i="77"/>
  <c r="W10" i="77"/>
  <c r="W11" i="77"/>
  <c r="W12" i="77"/>
  <c r="W13" i="77"/>
  <c r="W14" i="77"/>
  <c r="W15" i="77"/>
  <c r="W16" i="77"/>
  <c r="W17" i="77"/>
  <c r="W18" i="77"/>
  <c r="W19" i="77"/>
  <c r="W20" i="77"/>
  <c r="W21" i="77"/>
  <c r="W22" i="77"/>
  <c r="W23" i="77"/>
  <c r="W24" i="77"/>
  <c r="W25" i="77"/>
  <c r="W26" i="77"/>
  <c r="W27" i="77"/>
  <c r="W28" i="77"/>
  <c r="W29" i="77"/>
  <c r="W30" i="77"/>
  <c r="W31" i="77"/>
  <c r="W32" i="77"/>
  <c r="W3" i="77"/>
  <c r="I4" i="77"/>
  <c r="I5" i="77"/>
  <c r="I6" i="77"/>
  <c r="I7" i="77"/>
  <c r="I8" i="77"/>
  <c r="I9" i="77"/>
  <c r="I10" i="77"/>
  <c r="I11" i="77"/>
  <c r="I12" i="77"/>
  <c r="I13" i="77"/>
  <c r="I14" i="77"/>
  <c r="I15" i="77"/>
  <c r="I16" i="77"/>
  <c r="I17" i="77"/>
  <c r="I18" i="77"/>
  <c r="I19" i="77"/>
  <c r="I20" i="77"/>
  <c r="I21" i="77"/>
  <c r="I22" i="77"/>
  <c r="I23" i="77"/>
  <c r="I24" i="77"/>
  <c r="I25" i="77"/>
  <c r="I26" i="77"/>
  <c r="I27" i="77"/>
  <c r="I28" i="77"/>
  <c r="I29" i="77"/>
  <c r="I30" i="77"/>
  <c r="I31" i="77"/>
  <c r="I32" i="77"/>
  <c r="I3" i="77"/>
  <c r="H56" i="73" l="1"/>
  <c r="BG102" i="55" l="1"/>
  <c r="AO102" i="55"/>
  <c r="Q102" i="55"/>
  <c r="AB4" i="77" l="1"/>
  <c r="AB5" i="77"/>
  <c r="AB6" i="77"/>
  <c r="AB7" i="77"/>
  <c r="AB8" i="77"/>
  <c r="AB9" i="77"/>
  <c r="AB10" i="77"/>
  <c r="AB11" i="77"/>
  <c r="AB12" i="77"/>
  <c r="AB13" i="77"/>
  <c r="AB14" i="77"/>
  <c r="AB15" i="77"/>
  <c r="AB16" i="77"/>
  <c r="AB17" i="77"/>
  <c r="AB18" i="77"/>
  <c r="AB19" i="77"/>
  <c r="AB20" i="77"/>
  <c r="AB21" i="77"/>
  <c r="AB22" i="77"/>
  <c r="AB23" i="77"/>
  <c r="AB24" i="77"/>
  <c r="AB25" i="77"/>
  <c r="AB26" i="77"/>
  <c r="AB27" i="77"/>
  <c r="AB28" i="77"/>
  <c r="AB29" i="77"/>
  <c r="AB30" i="77"/>
  <c r="AB31" i="77"/>
  <c r="AB32" i="77"/>
  <c r="AB3" i="77"/>
  <c r="R4" i="77"/>
  <c r="S4" i="77" s="1"/>
  <c r="R5" i="77"/>
  <c r="S5" i="77" s="1"/>
  <c r="R6" i="77"/>
  <c r="S6" i="77" s="1"/>
  <c r="R7" i="77"/>
  <c r="S7" i="77" s="1"/>
  <c r="R8" i="77"/>
  <c r="S8" i="77" s="1"/>
  <c r="R9" i="77"/>
  <c r="S9" i="77" s="1"/>
  <c r="R10" i="77"/>
  <c r="S10" i="77" s="1"/>
  <c r="R11" i="77"/>
  <c r="S11" i="77" s="1"/>
  <c r="R12" i="77"/>
  <c r="S12" i="77" s="1"/>
  <c r="R13" i="77"/>
  <c r="S13" i="77" s="1"/>
  <c r="R14" i="77"/>
  <c r="S14" i="77" s="1"/>
  <c r="R15" i="77"/>
  <c r="S15" i="77" s="1"/>
  <c r="R16" i="77"/>
  <c r="S16" i="77" s="1"/>
  <c r="R17" i="77"/>
  <c r="S17" i="77" s="1"/>
  <c r="R18" i="77"/>
  <c r="S18" i="77" s="1"/>
  <c r="R19" i="77"/>
  <c r="S19" i="77" s="1"/>
  <c r="R20" i="77"/>
  <c r="S20" i="77" s="1"/>
  <c r="R21" i="77"/>
  <c r="S21" i="77" s="1"/>
  <c r="R22" i="77"/>
  <c r="S22" i="77" s="1"/>
  <c r="R23" i="77"/>
  <c r="S23" i="77" s="1"/>
  <c r="R24" i="77"/>
  <c r="S24" i="77" s="1"/>
  <c r="R25" i="77"/>
  <c r="S25" i="77" s="1"/>
  <c r="R26" i="77"/>
  <c r="S26" i="77" s="1"/>
  <c r="R27" i="77"/>
  <c r="S27" i="77" s="1"/>
  <c r="R28" i="77"/>
  <c r="S28" i="77" s="1"/>
  <c r="R29" i="77"/>
  <c r="S29" i="77" s="1"/>
  <c r="R30" i="77"/>
  <c r="S30" i="77" s="1"/>
  <c r="R31" i="77"/>
  <c r="S31" i="77" s="1"/>
  <c r="R32" i="77"/>
  <c r="S32" i="77" s="1"/>
  <c r="R3" i="77"/>
  <c r="S3" i="77" s="1"/>
  <c r="R19" i="55"/>
  <c r="R20" i="55"/>
  <c r="R21" i="55"/>
  <c r="R22" i="55"/>
  <c r="R23" i="55"/>
  <c r="R24" i="55"/>
  <c r="R25" i="55"/>
  <c r="R26" i="55"/>
  <c r="R27" i="55"/>
  <c r="R28" i="55"/>
  <c r="R29" i="55"/>
  <c r="R30" i="55"/>
  <c r="R31" i="55"/>
  <c r="R32" i="55"/>
  <c r="R33" i="55"/>
  <c r="R34" i="55"/>
  <c r="R35" i="55"/>
  <c r="R36" i="55"/>
  <c r="R37" i="55"/>
  <c r="R38" i="55"/>
  <c r="R39" i="55"/>
  <c r="R40" i="55"/>
  <c r="R41" i="55"/>
  <c r="R42" i="55"/>
  <c r="R43" i="55"/>
  <c r="R44" i="55"/>
  <c r="R45" i="55"/>
  <c r="R46" i="55"/>
  <c r="R47" i="55"/>
  <c r="R18" i="55"/>
  <c r="J21" i="55"/>
  <c r="J22" i="55"/>
  <c r="J23" i="55"/>
  <c r="J24" i="55"/>
  <c r="J25" i="55"/>
  <c r="J26" i="55"/>
  <c r="J27" i="55"/>
  <c r="J28" i="55"/>
  <c r="J29" i="55"/>
  <c r="J30" i="55"/>
  <c r="J31" i="55"/>
  <c r="J32" i="55"/>
  <c r="J33" i="55"/>
  <c r="J34" i="55"/>
  <c r="J35" i="55"/>
  <c r="J36" i="55"/>
  <c r="J37" i="55"/>
  <c r="J38" i="55"/>
  <c r="J39" i="55"/>
  <c r="J40" i="55"/>
  <c r="J41" i="55"/>
  <c r="J42" i="55"/>
  <c r="J43" i="55"/>
  <c r="J44" i="55"/>
  <c r="J45" i="55"/>
  <c r="J46" i="55"/>
  <c r="J47" i="55"/>
  <c r="J18" i="55"/>
  <c r="J19" i="55"/>
  <c r="J20" i="55"/>
  <c r="AA13" i="65" s="1"/>
  <c r="AH62" i="65"/>
  <c r="N4" i="77"/>
  <c r="N5" i="77"/>
  <c r="N6" i="77"/>
  <c r="N7" i="77"/>
  <c r="N8" i="77"/>
  <c r="N9" i="77"/>
  <c r="N10" i="77"/>
  <c r="N11" i="77"/>
  <c r="N12" i="77"/>
  <c r="N13" i="77"/>
  <c r="N14" i="77"/>
  <c r="N15" i="77"/>
  <c r="N16" i="77"/>
  <c r="N17" i="77"/>
  <c r="N18" i="77"/>
  <c r="N19" i="77"/>
  <c r="N20" i="77"/>
  <c r="N21" i="77"/>
  <c r="N22" i="77"/>
  <c r="N23" i="77"/>
  <c r="N24" i="77"/>
  <c r="N25" i="77"/>
  <c r="N26" i="77"/>
  <c r="N27" i="77"/>
  <c r="N28" i="77"/>
  <c r="N29" i="77"/>
  <c r="N30" i="77"/>
  <c r="N31" i="77"/>
  <c r="N32" i="77"/>
  <c r="N3" i="77"/>
  <c r="D4" i="77"/>
  <c r="E4" i="77" s="1"/>
  <c r="D5" i="77"/>
  <c r="E5" i="77" s="1"/>
  <c r="D6" i="77"/>
  <c r="E6" i="77" s="1"/>
  <c r="D7" i="77"/>
  <c r="E7" i="77" s="1"/>
  <c r="D8" i="77"/>
  <c r="D9" i="77"/>
  <c r="E9" i="77" s="1"/>
  <c r="D10" i="77"/>
  <c r="E10" i="77" s="1"/>
  <c r="D11" i="77"/>
  <c r="E11" i="77" s="1"/>
  <c r="D12" i="77"/>
  <c r="E12" i="77" s="1"/>
  <c r="D13" i="77"/>
  <c r="E13" i="77" s="1"/>
  <c r="D14" i="77"/>
  <c r="E14" i="77" s="1"/>
  <c r="D15" i="77"/>
  <c r="E15" i="77" s="1"/>
  <c r="D16" i="77"/>
  <c r="E16" i="77" s="1"/>
  <c r="D17" i="77"/>
  <c r="E17" i="77" s="1"/>
  <c r="D18" i="77"/>
  <c r="E18" i="77" s="1"/>
  <c r="D19" i="77"/>
  <c r="E19" i="77" s="1"/>
  <c r="D20" i="77"/>
  <c r="E20" i="77" s="1"/>
  <c r="D21" i="77"/>
  <c r="E21" i="77" s="1"/>
  <c r="D22" i="77"/>
  <c r="E22" i="77" s="1"/>
  <c r="D23" i="77"/>
  <c r="E23" i="77" s="1"/>
  <c r="D24" i="77"/>
  <c r="E24" i="77" s="1"/>
  <c r="D25" i="77"/>
  <c r="E25" i="77" s="1"/>
  <c r="D26" i="77"/>
  <c r="E26" i="77" s="1"/>
  <c r="D27" i="77"/>
  <c r="E27" i="77" s="1"/>
  <c r="D28" i="77"/>
  <c r="E28" i="77" s="1"/>
  <c r="D29" i="77"/>
  <c r="E29" i="77" s="1"/>
  <c r="D30" i="77"/>
  <c r="E30" i="77" s="1"/>
  <c r="D31" i="77"/>
  <c r="E31" i="77" s="1"/>
  <c r="D32" i="77"/>
  <c r="E32" i="77" s="1"/>
  <c r="D3" i="77"/>
  <c r="E3" i="77" s="1"/>
  <c r="D35" i="77" l="1"/>
  <c r="E8" i="77"/>
  <c r="T11" i="77"/>
  <c r="F29" i="77"/>
  <c r="T17" i="77"/>
  <c r="T18" i="77"/>
  <c r="T23" i="77"/>
  <c r="T7" i="77"/>
  <c r="F18" i="77"/>
  <c r="T3" i="77"/>
  <c r="F13" i="77"/>
  <c r="F12" i="77"/>
  <c r="F10" i="77"/>
  <c r="T25" i="77"/>
  <c r="F28" i="77"/>
  <c r="F5" i="77"/>
  <c r="T15" i="77"/>
  <c r="F26" i="77"/>
  <c r="F4" i="77"/>
  <c r="T10" i="77"/>
  <c r="F21" i="77"/>
  <c r="T31" i="77"/>
  <c r="T9" i="77"/>
  <c r="F20" i="77"/>
  <c r="T26" i="77"/>
  <c r="F27" i="77"/>
  <c r="F19" i="77"/>
  <c r="F11" i="77"/>
  <c r="T32" i="77"/>
  <c r="T24" i="77"/>
  <c r="T16" i="77"/>
  <c r="T8" i="77"/>
  <c r="F3" i="77"/>
  <c r="G3" i="77" s="1"/>
  <c r="CN18" i="55" s="1"/>
  <c r="F25" i="77"/>
  <c r="F17" i="77"/>
  <c r="F9" i="77"/>
  <c r="T30" i="77"/>
  <c r="T22" i="77"/>
  <c r="T14" i="77"/>
  <c r="T6" i="77"/>
  <c r="F32" i="77"/>
  <c r="F24" i="77"/>
  <c r="F16" i="77"/>
  <c r="T29" i="77"/>
  <c r="T21" i="77"/>
  <c r="T13" i="77"/>
  <c r="T5" i="77"/>
  <c r="F31" i="77"/>
  <c r="F23" i="77"/>
  <c r="F15" i="77"/>
  <c r="F7" i="77"/>
  <c r="T28" i="77"/>
  <c r="T20" i="77"/>
  <c r="T12" i="77"/>
  <c r="T4" i="77"/>
  <c r="F30" i="77"/>
  <c r="F22" i="77"/>
  <c r="F14" i="77"/>
  <c r="F6" i="77"/>
  <c r="T27" i="77"/>
  <c r="T19" i="77"/>
  <c r="G73" i="76"/>
  <c r="G76" i="76"/>
  <c r="G84" i="76"/>
  <c r="G91" i="76"/>
  <c r="G96" i="76"/>
  <c r="G145" i="76"/>
  <c r="G161" i="76"/>
  <c r="G163" i="76"/>
  <c r="G164" i="76"/>
  <c r="G226" i="76"/>
  <c r="G229" i="76"/>
  <c r="G234" i="76"/>
  <c r="G241" i="76"/>
  <c r="G250" i="76"/>
  <c r="G253" i="76"/>
  <c r="G280" i="76"/>
  <c r="G255" i="76"/>
  <c r="G254" i="76"/>
  <c r="G252" i="76"/>
  <c r="G251" i="76"/>
  <c r="G249" i="76"/>
  <c r="G248" i="76"/>
  <c r="G243" i="76"/>
  <c r="G242" i="76"/>
  <c r="G240" i="76"/>
  <c r="G235" i="76"/>
  <c r="G233" i="76"/>
  <c r="G232" i="76"/>
  <c r="G231" i="76"/>
  <c r="G230" i="76"/>
  <c r="G228" i="76"/>
  <c r="G227" i="76"/>
  <c r="G225" i="76"/>
  <c r="G224" i="76"/>
  <c r="G223" i="76"/>
  <c r="G202" i="76"/>
  <c r="G162" i="76"/>
  <c r="G165" i="76"/>
  <c r="G166" i="76"/>
  <c r="G160" i="76"/>
  <c r="G140" i="76"/>
  <c r="G141" i="76"/>
  <c r="G142" i="76"/>
  <c r="G143" i="76"/>
  <c r="G144" i="76"/>
  <c r="G139" i="76"/>
  <c r="G119" i="76"/>
  <c r="G120" i="76"/>
  <c r="G121" i="76"/>
  <c r="G184" i="76" s="1"/>
  <c r="G122" i="76"/>
  <c r="G123" i="76"/>
  <c r="G124" i="76"/>
  <c r="G118" i="76"/>
  <c r="G95" i="76"/>
  <c r="G94" i="76"/>
  <c r="G93" i="76"/>
  <c r="G195" i="76" s="1"/>
  <c r="G92" i="76"/>
  <c r="G90" i="76"/>
  <c r="G194" i="76" s="1"/>
  <c r="G85" i="76"/>
  <c r="G83" i="76"/>
  <c r="G191" i="76" s="1"/>
  <c r="G82" i="76"/>
  <c r="G190" i="76" s="1"/>
  <c r="G78" i="76"/>
  <c r="G77" i="76"/>
  <c r="G75" i="76"/>
  <c r="G74" i="76"/>
  <c r="G72" i="76"/>
  <c r="G71" i="76"/>
  <c r="G70" i="76"/>
  <c r="G69" i="76"/>
  <c r="G49" i="76"/>
  <c r="G50" i="76"/>
  <c r="G51" i="76"/>
  <c r="G52" i="76"/>
  <c r="G53" i="76"/>
  <c r="G54" i="76"/>
  <c r="G57" i="76"/>
  <c r="G58" i="76"/>
  <c r="G48" i="76"/>
  <c r="G39" i="76"/>
  <c r="G38" i="76"/>
  <c r="G37" i="76"/>
  <c r="G36" i="76"/>
  <c r="G13" i="76"/>
  <c r="G12" i="76"/>
  <c r="G11" i="76"/>
  <c r="G10" i="76"/>
  <c r="G9" i="76"/>
  <c r="G8" i="76"/>
  <c r="G7" i="76"/>
  <c r="G6" i="76"/>
  <c r="G5" i="76"/>
  <c r="G4" i="76"/>
  <c r="G3" i="76"/>
  <c r="G2" i="76"/>
  <c r="D280" i="76"/>
  <c r="D255" i="76"/>
  <c r="D254" i="76"/>
  <c r="D253" i="76"/>
  <c r="D252" i="76"/>
  <c r="D251" i="76"/>
  <c r="D250" i="76"/>
  <c r="D249" i="76"/>
  <c r="D248" i="76"/>
  <c r="D243" i="76"/>
  <c r="D242" i="76"/>
  <c r="D241" i="76"/>
  <c r="D240" i="76"/>
  <c r="D235" i="76"/>
  <c r="D234" i="76"/>
  <c r="D233" i="76"/>
  <c r="D232" i="76"/>
  <c r="D231" i="76"/>
  <c r="D230" i="76"/>
  <c r="D229" i="76"/>
  <c r="D228" i="76"/>
  <c r="D227" i="76"/>
  <c r="D226" i="76"/>
  <c r="D225" i="76"/>
  <c r="D224" i="76"/>
  <c r="D223" i="76"/>
  <c r="D202" i="76"/>
  <c r="D187" i="76"/>
  <c r="D186" i="76"/>
  <c r="D185" i="76"/>
  <c r="D184" i="76"/>
  <c r="D183" i="76"/>
  <c r="D182" i="76"/>
  <c r="D181" i="76"/>
  <c r="D166" i="76"/>
  <c r="D165" i="76"/>
  <c r="D164" i="76"/>
  <c r="D163" i="76"/>
  <c r="D162" i="76"/>
  <c r="D161" i="76"/>
  <c r="D160" i="76"/>
  <c r="D145" i="76"/>
  <c r="D144" i="76"/>
  <c r="D143" i="76"/>
  <c r="D142" i="76"/>
  <c r="D141" i="76"/>
  <c r="D140" i="76"/>
  <c r="D139" i="76"/>
  <c r="D124" i="76"/>
  <c r="D123" i="76"/>
  <c r="D122" i="76"/>
  <c r="D121" i="76"/>
  <c r="D120" i="76"/>
  <c r="D119" i="76"/>
  <c r="D118" i="76"/>
  <c r="D96" i="76"/>
  <c r="D95" i="76"/>
  <c r="D94" i="76"/>
  <c r="D93" i="76"/>
  <c r="D92" i="76"/>
  <c r="D91" i="76"/>
  <c r="D90" i="76"/>
  <c r="D85" i="76"/>
  <c r="D84" i="76"/>
  <c r="D83" i="76"/>
  <c r="D82" i="76"/>
  <c r="D78" i="76"/>
  <c r="D77" i="76"/>
  <c r="D76" i="76"/>
  <c r="D75" i="76"/>
  <c r="D74" i="76"/>
  <c r="D73" i="76"/>
  <c r="D72" i="76"/>
  <c r="D71" i="76"/>
  <c r="D70" i="76"/>
  <c r="D69" i="76"/>
  <c r="D58" i="76"/>
  <c r="D57" i="76"/>
  <c r="D54" i="76"/>
  <c r="D53" i="76"/>
  <c r="D52" i="76"/>
  <c r="D51" i="76"/>
  <c r="D50" i="76"/>
  <c r="D49" i="76"/>
  <c r="D48" i="76"/>
  <c r="D39" i="76"/>
  <c r="D38" i="76"/>
  <c r="D37" i="76"/>
  <c r="D36" i="76"/>
  <c r="D28" i="76"/>
  <c r="D27" i="76"/>
  <c r="D26" i="76"/>
  <c r="D25" i="76"/>
  <c r="D24" i="76"/>
  <c r="D23" i="76"/>
  <c r="D22" i="76"/>
  <c r="D16" i="76"/>
  <c r="D15" i="76"/>
  <c r="D14" i="76"/>
  <c r="D13" i="76"/>
  <c r="D12" i="76"/>
  <c r="D11" i="76"/>
  <c r="D10" i="76"/>
  <c r="D9" i="76"/>
  <c r="D8" i="76"/>
  <c r="D7" i="76"/>
  <c r="D6" i="76"/>
  <c r="D5" i="76"/>
  <c r="D4" i="76"/>
  <c r="D3" i="76"/>
  <c r="D2" i="76"/>
  <c r="E272" i="76" l="1"/>
  <c r="E278" i="76"/>
  <c r="E245" i="76"/>
  <c r="E274" i="76"/>
  <c r="E247" i="76"/>
  <c r="E276" i="76"/>
  <c r="E259" i="76"/>
  <c r="E275" i="76"/>
  <c r="E244" i="76"/>
  <c r="E277" i="76"/>
  <c r="E236" i="76"/>
  <c r="E260" i="76"/>
  <c r="E238" i="76"/>
  <c r="E239" i="76"/>
  <c r="E246" i="76"/>
  <c r="E258" i="76"/>
  <c r="E263" i="76"/>
  <c r="E262" i="76"/>
  <c r="E257" i="76"/>
  <c r="E279" i="76"/>
  <c r="E256" i="76"/>
  <c r="E237" i="76"/>
  <c r="E261" i="76"/>
  <c r="E273" i="76"/>
  <c r="E209" i="76"/>
  <c r="E206" i="76"/>
  <c r="E217" i="76"/>
  <c r="E216" i="76"/>
  <c r="E221" i="76"/>
  <c r="E207" i="76"/>
  <c r="E215" i="76"/>
  <c r="E214" i="76"/>
  <c r="E203" i="76"/>
  <c r="E212" i="76"/>
  <c r="E220" i="76"/>
  <c r="E218" i="76"/>
  <c r="E204" i="76"/>
  <c r="E208" i="76"/>
  <c r="E205" i="76"/>
  <c r="E213" i="76"/>
  <c r="E211" i="76"/>
  <c r="E210" i="76"/>
  <c r="E219" i="76"/>
  <c r="G187" i="76"/>
  <c r="G181" i="76"/>
  <c r="E200" i="76"/>
  <c r="E194" i="76"/>
  <c r="E191" i="76"/>
  <c r="E196" i="76"/>
  <c r="E190" i="76"/>
  <c r="E198" i="76"/>
  <c r="E192" i="76"/>
  <c r="E199" i="76"/>
  <c r="E188" i="76"/>
  <c r="E201" i="76"/>
  <c r="E189" i="76"/>
  <c r="E197" i="76"/>
  <c r="E195" i="76"/>
  <c r="E193" i="76"/>
  <c r="G182" i="76"/>
  <c r="G186" i="76"/>
  <c r="G185" i="76"/>
  <c r="G183" i="76"/>
  <c r="E173" i="76"/>
  <c r="E171" i="76"/>
  <c r="E168" i="76"/>
  <c r="E170" i="76"/>
  <c r="E179" i="76"/>
  <c r="E176" i="76"/>
  <c r="E174" i="76"/>
  <c r="E178" i="76"/>
  <c r="E177" i="76"/>
  <c r="E169" i="76"/>
  <c r="E180" i="76"/>
  <c r="E175" i="76"/>
  <c r="E167" i="76"/>
  <c r="E172" i="76"/>
  <c r="E152" i="76"/>
  <c r="E150" i="76"/>
  <c r="E148" i="76"/>
  <c r="E149" i="76"/>
  <c r="E147" i="76"/>
  <c r="E158" i="76"/>
  <c r="E156" i="76"/>
  <c r="E159" i="76"/>
  <c r="E155" i="76"/>
  <c r="E153" i="76"/>
  <c r="E154" i="76"/>
  <c r="E146" i="76"/>
  <c r="E151" i="76"/>
  <c r="E157" i="76"/>
  <c r="E131" i="76"/>
  <c r="E126" i="76"/>
  <c r="E128" i="76"/>
  <c r="E137" i="76"/>
  <c r="E135" i="76"/>
  <c r="E132" i="76"/>
  <c r="E130" i="76"/>
  <c r="E134" i="76"/>
  <c r="E127" i="76"/>
  <c r="E138" i="76"/>
  <c r="E133" i="76"/>
  <c r="E125" i="76"/>
  <c r="E136" i="76"/>
  <c r="E129" i="76"/>
  <c r="E20" i="76"/>
  <c r="E43" i="76"/>
  <c r="E41" i="76"/>
  <c r="E21" i="76"/>
  <c r="E47" i="76"/>
  <c r="E17" i="76"/>
  <c r="E46" i="76"/>
  <c r="E18" i="76"/>
  <c r="E30" i="76"/>
  <c r="E40" i="76"/>
  <c r="E29" i="76"/>
  <c r="E35" i="76"/>
  <c r="E19" i="76"/>
  <c r="E32" i="76"/>
  <c r="E34" i="76"/>
  <c r="E31" i="76"/>
  <c r="E42" i="76"/>
  <c r="E33" i="76"/>
  <c r="E80" i="76"/>
  <c r="E98" i="76"/>
  <c r="E89" i="76"/>
  <c r="E86" i="76"/>
  <c r="E112" i="76"/>
  <c r="E79" i="76"/>
  <c r="E81" i="76"/>
  <c r="E99" i="76"/>
  <c r="E97" i="76"/>
  <c r="E88" i="76"/>
  <c r="E113" i="76"/>
  <c r="E111" i="76"/>
  <c r="E101" i="76"/>
  <c r="E117" i="76"/>
  <c r="E115" i="76"/>
  <c r="E114" i="76"/>
  <c r="E103" i="76"/>
  <c r="E87" i="76"/>
  <c r="E116" i="76"/>
  <c r="E100" i="76"/>
  <c r="E102" i="76"/>
  <c r="E65" i="76"/>
  <c r="E60" i="76"/>
  <c r="E61" i="76"/>
  <c r="E66" i="76"/>
  <c r="E67" i="76"/>
  <c r="E59" i="76"/>
  <c r="E64" i="76"/>
  <c r="E55" i="76"/>
  <c r="E68" i="76"/>
  <c r="E56" i="76"/>
  <c r="E63" i="76"/>
  <c r="E62" i="76"/>
  <c r="E52" i="76"/>
  <c r="E269" i="76"/>
  <c r="E106" i="76"/>
  <c r="E271" i="76"/>
  <c r="E267" i="76"/>
  <c r="E265" i="76"/>
  <c r="E108" i="76"/>
  <c r="E264" i="76"/>
  <c r="E104" i="76"/>
  <c r="E270" i="76"/>
  <c r="E107" i="76"/>
  <c r="E266" i="76"/>
  <c r="E109" i="76"/>
  <c r="E110" i="76"/>
  <c r="E268" i="76"/>
  <c r="E105" i="76"/>
  <c r="E70" i="76"/>
  <c r="E78" i="76"/>
  <c r="E44" i="76"/>
  <c r="E45" i="76"/>
  <c r="E72" i="76"/>
  <c r="E83" i="76"/>
  <c r="E95" i="76"/>
  <c r="E124" i="76"/>
  <c r="E142" i="76"/>
  <c r="E160" i="76"/>
  <c r="E186" i="76"/>
  <c r="E16" i="76"/>
  <c r="E54" i="76"/>
  <c r="E11" i="76"/>
  <c r="E24" i="76"/>
  <c r="E39" i="76"/>
  <c r="E57" i="76"/>
  <c r="E73" i="76"/>
  <c r="E84" i="76"/>
  <c r="E96" i="76"/>
  <c r="E143" i="76"/>
  <c r="E161" i="76"/>
  <c r="E187" i="76"/>
  <c r="E223" i="76"/>
  <c r="Z25" i="77" s="1"/>
  <c r="E231" i="76"/>
  <c r="E36" i="76"/>
  <c r="E38" i="76"/>
  <c r="E90" i="76"/>
  <c r="E25" i="76"/>
  <c r="E74" i="76"/>
  <c r="E85" i="76"/>
  <c r="E118" i="76"/>
  <c r="E144" i="76"/>
  <c r="E162" i="76"/>
  <c r="E224" i="76"/>
  <c r="E93" i="76"/>
  <c r="E23" i="76"/>
  <c r="E12" i="76"/>
  <c r="E48" i="76"/>
  <c r="E8" i="76"/>
  <c r="E10" i="76"/>
  <c r="E3" i="76"/>
  <c r="E58" i="76"/>
  <c r="F8" i="77"/>
  <c r="E248" i="76"/>
  <c r="E230" i="76"/>
  <c r="E242" i="76"/>
  <c r="E254" i="76"/>
  <c r="Z8" i="77" s="1"/>
  <c r="E243" i="76"/>
  <c r="E255" i="76"/>
  <c r="E232" i="76"/>
  <c r="E280" i="76"/>
  <c r="E53" i="76"/>
  <c r="E71" i="76"/>
  <c r="E229" i="76"/>
  <c r="E241" i="76"/>
  <c r="E253" i="76"/>
  <c r="E4" i="76"/>
  <c r="E37" i="76"/>
  <c r="E82" i="76"/>
  <c r="E94" i="76"/>
  <c r="E123" i="76"/>
  <c r="E28" i="76"/>
  <c r="E51" i="76"/>
  <c r="E69" i="76"/>
  <c r="E121" i="76"/>
  <c r="E139" i="76"/>
  <c r="E165" i="76"/>
  <c r="E183" i="76"/>
  <c r="E227" i="76"/>
  <c r="E235" i="76"/>
  <c r="E251" i="76"/>
  <c r="E141" i="76"/>
  <c r="E185" i="76"/>
  <c r="E7" i="76"/>
  <c r="E15" i="76"/>
  <c r="E77" i="76"/>
  <c r="E92" i="76"/>
  <c r="E2" i="76"/>
  <c r="E119" i="76"/>
  <c r="E145" i="76"/>
  <c r="E163" i="76"/>
  <c r="E181" i="76"/>
  <c r="E225" i="76"/>
  <c r="H24" i="77" s="1"/>
  <c r="CP39" i="55" s="1"/>
  <c r="E233" i="76"/>
  <c r="E249" i="76"/>
  <c r="E13" i="76"/>
  <c r="E26" i="76"/>
  <c r="E49" i="76"/>
  <c r="E166" i="76"/>
  <c r="E184" i="76"/>
  <c r="E202" i="76"/>
  <c r="E228" i="76"/>
  <c r="E240" i="76"/>
  <c r="E252" i="76"/>
  <c r="E9" i="76"/>
  <c r="E22" i="76"/>
  <c r="E5" i="76"/>
  <c r="E75" i="76"/>
  <c r="E122" i="76"/>
  <c r="E140" i="76"/>
  <c r="E6" i="76"/>
  <c r="E14" i="76"/>
  <c r="E27" i="76"/>
  <c r="E50" i="76"/>
  <c r="E76" i="76"/>
  <c r="E91" i="76"/>
  <c r="E120" i="76"/>
  <c r="E164" i="76"/>
  <c r="E182" i="76"/>
  <c r="E226" i="76"/>
  <c r="E234" i="76"/>
  <c r="E250" i="76"/>
  <c r="AA17" i="77" l="1"/>
  <c r="L5" i="77"/>
  <c r="L27" i="77"/>
  <c r="L15" i="77"/>
  <c r="Z16" i="77"/>
  <c r="AA27" i="77"/>
  <c r="Z22" i="77"/>
  <c r="AA7" i="77"/>
  <c r="U9" i="77"/>
  <c r="CT24" i="55" s="1"/>
  <c r="G9" i="77"/>
  <c r="CN24" i="55" s="1"/>
  <c r="V4" i="77"/>
  <c r="V15" i="77"/>
  <c r="G21" i="77"/>
  <c r="CN36" i="55" s="1"/>
  <c r="H11" i="77"/>
  <c r="CP26" i="55" s="1"/>
  <c r="AA8" i="77"/>
  <c r="G31" i="77"/>
  <c r="CN46" i="55" s="1"/>
  <c r="H10" i="77"/>
  <c r="CP25" i="55" s="1"/>
  <c r="H22" i="77"/>
  <c r="CP37" i="55" s="1"/>
  <c r="U21" i="77"/>
  <c r="CT36" i="55" s="1"/>
  <c r="L4" i="77"/>
  <c r="G32" i="77"/>
  <c r="CN47" i="55" s="1"/>
  <c r="AA10" i="77"/>
  <c r="V13" i="77"/>
  <c r="U32" i="77"/>
  <c r="CT47" i="55" s="1"/>
  <c r="G28" i="77"/>
  <c r="CN43" i="55" s="1"/>
  <c r="M14" i="77"/>
  <c r="M22" i="77"/>
  <c r="M29" i="77"/>
  <c r="Z28" i="77"/>
  <c r="AA13" i="77"/>
  <c r="G5" i="77"/>
  <c r="CN20" i="55" s="1"/>
  <c r="U4" i="77"/>
  <c r="CT19" i="55" s="1"/>
  <c r="U3" i="77"/>
  <c r="CT18" i="55" s="1"/>
  <c r="V22" i="77"/>
  <c r="CV37" i="55" s="1"/>
  <c r="V10" i="77"/>
  <c r="V28" i="77"/>
  <c r="CV43" i="55" s="1"/>
  <c r="AA6" i="77"/>
  <c r="U20" i="77"/>
  <c r="CT35" i="55" s="1"/>
  <c r="U16" i="77"/>
  <c r="CT31" i="55" s="1"/>
  <c r="H13" i="77"/>
  <c r="CP28" i="55" s="1"/>
  <c r="G23" i="77"/>
  <c r="CN38" i="55" s="1"/>
  <c r="M17" i="77"/>
  <c r="V21" i="77"/>
  <c r="CV36" i="55" s="1"/>
  <c r="M11" i="77"/>
  <c r="G15" i="77"/>
  <c r="CN30" i="55" s="1"/>
  <c r="U23" i="77"/>
  <c r="CT38" i="55" s="1"/>
  <c r="H29" i="77"/>
  <c r="CP44" i="55" s="1"/>
  <c r="H12" i="77"/>
  <c r="CP27" i="55" s="1"/>
  <c r="M26" i="77"/>
  <c r="AA29" i="77"/>
  <c r="Z31" i="77"/>
  <c r="L14" i="77"/>
  <c r="L12" i="77"/>
  <c r="L18" i="77"/>
  <c r="L24" i="77"/>
  <c r="L21" i="77"/>
  <c r="Z29" i="77"/>
  <c r="Z10" i="77"/>
  <c r="Z9" i="77"/>
  <c r="Z15" i="77"/>
  <c r="V5" i="77"/>
  <c r="V7" i="77"/>
  <c r="U19" i="77"/>
  <c r="CT34" i="55" s="1"/>
  <c r="V24" i="77"/>
  <c r="CV39" i="55" s="1"/>
  <c r="G12" i="77"/>
  <c r="CN27" i="55" s="1"/>
  <c r="H14" i="77"/>
  <c r="CP29" i="55" s="1"/>
  <c r="U17" i="77"/>
  <c r="CT32" i="55" s="1"/>
  <c r="U27" i="77"/>
  <c r="CT42" i="55" s="1"/>
  <c r="U14" i="77"/>
  <c r="CT29" i="55" s="1"/>
  <c r="Z3" i="77"/>
  <c r="V12" i="77"/>
  <c r="G7" i="77"/>
  <c r="CN22" i="55" s="1"/>
  <c r="H23" i="77"/>
  <c r="CP38" i="55" s="1"/>
  <c r="M9" i="77"/>
  <c r="H20" i="77"/>
  <c r="CP35" i="55" s="1"/>
  <c r="U30" i="77"/>
  <c r="CT45" i="55" s="1"/>
  <c r="V18" i="77"/>
  <c r="AA9" i="77"/>
  <c r="M27" i="77"/>
  <c r="Z27" i="77"/>
  <c r="Z24" i="77"/>
  <c r="L25" i="77"/>
  <c r="L11" i="77"/>
  <c r="L3" i="77"/>
  <c r="L23" i="77"/>
  <c r="Z18" i="77"/>
  <c r="Z30" i="77"/>
  <c r="AA32" i="77"/>
  <c r="AA12" i="77"/>
  <c r="AA26" i="77"/>
  <c r="U5" i="77"/>
  <c r="CT20" i="55" s="1"/>
  <c r="H18" i="77"/>
  <c r="H5" i="77"/>
  <c r="CP20" i="55" s="1"/>
  <c r="H16" i="77"/>
  <c r="CP31" i="55" s="1"/>
  <c r="G26" i="77"/>
  <c r="CN41" i="55" s="1"/>
  <c r="H30" i="77"/>
  <c r="CP45" i="55" s="1"/>
  <c r="G10" i="77"/>
  <c r="CN25" i="55" s="1"/>
  <c r="G22" i="77"/>
  <c r="CN37" i="55" s="1"/>
  <c r="H17" i="77"/>
  <c r="CP32" i="55" s="1"/>
  <c r="G19" i="77"/>
  <c r="CN34" i="55" s="1"/>
  <c r="U11" i="77"/>
  <c r="CT26" i="55" s="1"/>
  <c r="M6" i="77"/>
  <c r="U12" i="77"/>
  <c r="CT27" i="55" s="1"/>
  <c r="V32" i="77"/>
  <c r="H28" i="77"/>
  <c r="CP43" i="55" s="1"/>
  <c r="H27" i="77"/>
  <c r="CP42" i="55" s="1"/>
  <c r="AA18" i="77"/>
  <c r="AA16" i="77"/>
  <c r="AC16" i="77" s="1"/>
  <c r="M25" i="77"/>
  <c r="AA22" i="77"/>
  <c r="M28" i="77"/>
  <c r="L29" i="77"/>
  <c r="L9" i="77"/>
  <c r="L32" i="77"/>
  <c r="L22" i="77"/>
  <c r="O22" i="77" s="1"/>
  <c r="M7" i="77"/>
  <c r="Z14" i="77"/>
  <c r="Z21" i="77"/>
  <c r="Z5" i="77"/>
  <c r="G8" i="77"/>
  <c r="CN23" i="55" s="1"/>
  <c r="H3" i="77"/>
  <c r="U6" i="77"/>
  <c r="CT21" i="55" s="1"/>
  <c r="U7" i="77"/>
  <c r="CT22" i="55" s="1"/>
  <c r="G11" i="77"/>
  <c r="CN26" i="55" s="1"/>
  <c r="U15" i="77"/>
  <c r="CT30" i="55" s="1"/>
  <c r="H21" i="77"/>
  <c r="CP36" i="55" s="1"/>
  <c r="V16" i="77"/>
  <c r="G13" i="77"/>
  <c r="V29" i="77"/>
  <c r="CV44" i="55" s="1"/>
  <c r="V31" i="77"/>
  <c r="H6" i="77"/>
  <c r="CP21" i="55" s="1"/>
  <c r="H19" i="77"/>
  <c r="V11" i="77"/>
  <c r="V23" i="77"/>
  <c r="CV38" i="55" s="1"/>
  <c r="G29" i="77"/>
  <c r="CN44" i="55" s="1"/>
  <c r="G24" i="77"/>
  <c r="Z13" i="77"/>
  <c r="AA14" i="77"/>
  <c r="M24" i="77"/>
  <c r="M21" i="77"/>
  <c r="O21" i="77" s="1"/>
  <c r="M20" i="77"/>
  <c r="AA25" i="77"/>
  <c r="AC25" i="77" s="1"/>
  <c r="L6" i="77"/>
  <c r="L31" i="77"/>
  <c r="L13" i="77"/>
  <c r="M3" i="77"/>
  <c r="AA11" i="77"/>
  <c r="Z6" i="77"/>
  <c r="AA19" i="77"/>
  <c r="V8" i="77"/>
  <c r="G18" i="77"/>
  <c r="CN33" i="55" s="1"/>
  <c r="G4" i="77"/>
  <c r="CN19" i="55" s="1"/>
  <c r="V3" i="77"/>
  <c r="U28" i="77"/>
  <c r="CT43" i="55" s="1"/>
  <c r="U22" i="77"/>
  <c r="CT37" i="55" s="1"/>
  <c r="U10" i="77"/>
  <c r="CT25" i="55" s="1"/>
  <c r="V14" i="77"/>
  <c r="M18" i="77"/>
  <c r="H31" i="77"/>
  <c r="H25" i="77"/>
  <c r="CP40" i="55" s="1"/>
  <c r="U26" i="77"/>
  <c r="CT41" i="55" s="1"/>
  <c r="U31" i="77"/>
  <c r="CT46" i="55" s="1"/>
  <c r="G6" i="77"/>
  <c r="CN21" i="55" s="1"/>
  <c r="V30" i="77"/>
  <c r="CV45" i="55" s="1"/>
  <c r="U18" i="77"/>
  <c r="CT33" i="55" s="1"/>
  <c r="U13" i="77"/>
  <c r="CT28" i="55" s="1"/>
  <c r="Z12" i="77"/>
  <c r="Z4" i="77"/>
  <c r="Z26" i="77"/>
  <c r="AC26" i="77" s="1"/>
  <c r="M19" i="77"/>
  <c r="Z32" i="77"/>
  <c r="M31" i="77"/>
  <c r="L10" i="77"/>
  <c r="L30" i="77"/>
  <c r="L19" i="77"/>
  <c r="M4" i="77"/>
  <c r="L7" i="77"/>
  <c r="AA31" i="77"/>
  <c r="AA24" i="77"/>
  <c r="AC24" i="77" s="1"/>
  <c r="V9" i="77"/>
  <c r="V6" i="77"/>
  <c r="H9" i="77"/>
  <c r="V19" i="77"/>
  <c r="G14" i="77"/>
  <c r="CN29" i="55" s="1"/>
  <c r="U24" i="77"/>
  <c r="CT39" i="55" s="1"/>
  <c r="Z7" i="77"/>
  <c r="G17" i="77"/>
  <c r="CN32" i="55" s="1"/>
  <c r="AA15" i="77"/>
  <c r="V20" i="77"/>
  <c r="U25" i="77"/>
  <c r="CT40" i="55" s="1"/>
  <c r="Z11" i="77"/>
  <c r="G25" i="77"/>
  <c r="CN40" i="55" s="1"/>
  <c r="V26" i="77"/>
  <c r="CV41" i="55" s="1"/>
  <c r="G27" i="77"/>
  <c r="CN42" i="55" s="1"/>
  <c r="M10" i="77"/>
  <c r="O10" i="77" s="1"/>
  <c r="H15" i="77"/>
  <c r="AA5" i="77"/>
  <c r="M32" i="77"/>
  <c r="AA28" i="77"/>
  <c r="AC28" i="77" s="1"/>
  <c r="AA30" i="77"/>
  <c r="M30" i="77"/>
  <c r="L20" i="77"/>
  <c r="O20" i="77" s="1"/>
  <c r="L28" i="77"/>
  <c r="L26" i="77"/>
  <c r="O26" i="77" s="1"/>
  <c r="L17" i="77"/>
  <c r="O17" i="77" s="1"/>
  <c r="AA4" i="77"/>
  <c r="AA3" i="77"/>
  <c r="AA20" i="77"/>
  <c r="AA23" i="77"/>
  <c r="U8" i="77"/>
  <c r="CT23" i="55" s="1"/>
  <c r="H4" i="77"/>
  <c r="CP19" i="55" s="1"/>
  <c r="H7" i="77"/>
  <c r="H26" i="77"/>
  <c r="G30" i="77"/>
  <c r="G16" i="77"/>
  <c r="M5" i="77"/>
  <c r="O5" i="77" s="1"/>
  <c r="U29" i="77"/>
  <c r="V17" i="77"/>
  <c r="V27" i="77"/>
  <c r="H32" i="77"/>
  <c r="M13" i="77"/>
  <c r="V25" i="77"/>
  <c r="M12" i="77"/>
  <c r="O12" i="77" s="1"/>
  <c r="Z19" i="77"/>
  <c r="G20" i="77"/>
  <c r="CN35" i="55" s="1"/>
  <c r="M15" i="77"/>
  <c r="O15" i="77" s="1"/>
  <c r="M23" i="77"/>
  <c r="AA21" i="77"/>
  <c r="Z20" i="77"/>
  <c r="Z23" i="77"/>
  <c r="X31" i="77"/>
  <c r="O11" i="77"/>
  <c r="L8" i="77"/>
  <c r="X21" i="77"/>
  <c r="X32" i="77"/>
  <c r="J28" i="77"/>
  <c r="J11" i="77"/>
  <c r="X28" i="77"/>
  <c r="J10" i="77"/>
  <c r="J22" i="77"/>
  <c r="J12" i="77"/>
  <c r="J5" i="77"/>
  <c r="J23" i="77"/>
  <c r="J21" i="77"/>
  <c r="X23" i="77"/>
  <c r="M16" i="77"/>
  <c r="L16" i="77"/>
  <c r="Z17" i="77"/>
  <c r="M8" i="77"/>
  <c r="H8" i="77"/>
  <c r="O29" i="77"/>
  <c r="O9" i="77"/>
  <c r="O30" i="77"/>
  <c r="O7" i="77"/>
  <c r="O25" i="77"/>
  <c r="AC29" i="77"/>
  <c r="AC27" i="77"/>
  <c r="AC22" i="77"/>
  <c r="O3" i="77" l="1"/>
  <c r="J29" i="77"/>
  <c r="X30" i="77"/>
  <c r="X24" i="77"/>
  <c r="X26" i="77"/>
  <c r="O14" i="77"/>
  <c r="J27" i="77"/>
  <c r="AC14" i="77"/>
  <c r="X27" i="77"/>
  <c r="CV42" i="55"/>
  <c r="J24" i="77"/>
  <c r="CN39" i="55"/>
  <c r="J13" i="77"/>
  <c r="CN28" i="55"/>
  <c r="J8" i="77"/>
  <c r="CP23" i="55"/>
  <c r="X22" i="77"/>
  <c r="J16" i="77"/>
  <c r="CN31" i="55"/>
  <c r="X19" i="77"/>
  <c r="CV34" i="55"/>
  <c r="J31" i="77"/>
  <c r="CP46" i="55"/>
  <c r="X16" i="77"/>
  <c r="CV31" i="55"/>
  <c r="X12" i="77"/>
  <c r="CV27" i="55"/>
  <c r="X13" i="77"/>
  <c r="CV28" i="55"/>
  <c r="X25" i="77"/>
  <c r="CV40" i="55"/>
  <c r="J30" i="77"/>
  <c r="CN45" i="55"/>
  <c r="J9" i="77"/>
  <c r="CP24" i="55"/>
  <c r="X8" i="77"/>
  <c r="CV23" i="55"/>
  <c r="AC9" i="77"/>
  <c r="X7" i="77"/>
  <c r="CV22" i="55"/>
  <c r="X17" i="77"/>
  <c r="CV32" i="55"/>
  <c r="J20" i="77"/>
  <c r="J26" i="77"/>
  <c r="CP41" i="55"/>
  <c r="X20" i="77"/>
  <c r="CV35" i="55"/>
  <c r="X6" i="77"/>
  <c r="CV21" i="55"/>
  <c r="X14" i="77"/>
  <c r="CV29" i="55"/>
  <c r="X11" i="77"/>
  <c r="CV26" i="55"/>
  <c r="X18" i="77"/>
  <c r="CV33" i="55"/>
  <c r="X5" i="77"/>
  <c r="CV20" i="55"/>
  <c r="J32" i="77"/>
  <c r="CP47" i="55"/>
  <c r="J7" i="77"/>
  <c r="CP22" i="55"/>
  <c r="J15" i="77"/>
  <c r="CP30" i="55"/>
  <c r="X9" i="77"/>
  <c r="CV24" i="55"/>
  <c r="J19" i="77"/>
  <c r="CP34" i="55"/>
  <c r="J18" i="77"/>
  <c r="CP33" i="55"/>
  <c r="X15" i="77"/>
  <c r="CV30" i="55"/>
  <c r="X10" i="77"/>
  <c r="CV25" i="55"/>
  <c r="X4" i="77"/>
  <c r="CV19" i="55"/>
  <c r="CV47" i="55"/>
  <c r="CV46" i="55"/>
  <c r="X29" i="77"/>
  <c r="CT44" i="55"/>
  <c r="CP18" i="55"/>
  <c r="J3" i="77"/>
  <c r="X3" i="77"/>
  <c r="CV18" i="55"/>
  <c r="J14" i="77"/>
  <c r="AC31" i="77"/>
  <c r="O6" i="77"/>
  <c r="AC18" i="77"/>
  <c r="AC15" i="77"/>
  <c r="AC13" i="77"/>
  <c r="AC10" i="77"/>
  <c r="AC8" i="77"/>
  <c r="AC7" i="77"/>
  <c r="AC6" i="77"/>
  <c r="AC5" i="77"/>
  <c r="AC4" i="77"/>
  <c r="O4" i="77"/>
  <c r="J17" i="77"/>
  <c r="O18" i="77"/>
  <c r="J25" i="77"/>
  <c r="J4" i="77"/>
  <c r="J6" i="77"/>
  <c r="O32" i="77"/>
  <c r="AC32" i="77"/>
  <c r="AC20" i="77"/>
  <c r="O19" i="77"/>
  <c r="AC30" i="77"/>
  <c r="AC21" i="77"/>
  <c r="AC19" i="77"/>
  <c r="O24" i="77"/>
  <c r="O23" i="77"/>
  <c r="O13" i="77"/>
  <c r="O28" i="77"/>
  <c r="O27" i="77"/>
  <c r="AC12" i="77"/>
  <c r="AC3" i="77"/>
  <c r="AC11" i="77"/>
  <c r="AC23" i="77"/>
  <c r="O31" i="77"/>
  <c r="O8" i="77"/>
  <c r="AC17" i="77"/>
  <c r="O16" i="77"/>
  <c r="K3" i="77" l="1"/>
  <c r="Y3" i="77"/>
  <c r="AD3" i="77"/>
  <c r="P3" i="77"/>
  <c r="BA141" i="55"/>
  <c r="AZ141" i="55"/>
  <c r="AY141" i="55"/>
  <c r="AX141" i="55"/>
  <c r="AW141" i="55"/>
  <c r="AV141" i="55"/>
  <c r="AU141" i="55"/>
  <c r="AT141" i="55"/>
  <c r="AS141" i="55"/>
  <c r="AR141" i="55"/>
  <c r="AQ141" i="55"/>
  <c r="AP141" i="55"/>
  <c r="AO141" i="55"/>
  <c r="AN141" i="55"/>
  <c r="AM141" i="55"/>
  <c r="AL141" i="55"/>
  <c r="AK141" i="55"/>
  <c r="AJ141" i="55"/>
  <c r="AI141" i="55"/>
  <c r="AH141" i="55"/>
  <c r="AG141" i="55"/>
  <c r="AF141" i="55"/>
  <c r="AE141" i="55"/>
  <c r="AD141" i="55"/>
  <c r="AC141" i="55"/>
  <c r="AB141" i="55"/>
  <c r="AA141" i="55"/>
  <c r="Z141" i="55"/>
  <c r="Y141" i="55"/>
  <c r="X141" i="55"/>
  <c r="AJ4" i="64"/>
  <c r="AJ5" i="64"/>
  <c r="AJ6" i="64"/>
  <c r="AJ7" i="64"/>
  <c r="AJ8" i="64"/>
  <c r="AJ9" i="64"/>
  <c r="AJ10" i="64"/>
  <c r="AJ11" i="64"/>
  <c r="AJ12" i="64"/>
  <c r="AJ13" i="64"/>
  <c r="AJ14" i="64"/>
  <c r="AJ15" i="64"/>
  <c r="AJ16" i="64"/>
  <c r="AJ17" i="64"/>
  <c r="AJ18" i="64"/>
  <c r="AJ19" i="64"/>
  <c r="AJ20" i="64"/>
  <c r="AJ21" i="64"/>
  <c r="AJ22" i="64"/>
  <c r="AJ23" i="64"/>
  <c r="AJ24" i="64"/>
  <c r="AJ25" i="64"/>
  <c r="AJ26" i="64"/>
  <c r="AJ27" i="64"/>
  <c r="AJ28" i="64"/>
  <c r="AJ29" i="64"/>
  <c r="AJ30" i="64"/>
  <c r="AJ31" i="64"/>
  <c r="AJ32" i="64"/>
  <c r="AJ3" i="64"/>
  <c r="BA140" i="55"/>
  <c r="AZ140" i="55"/>
  <c r="AY140" i="55"/>
  <c r="AX140" i="55"/>
  <c r="AW140" i="55"/>
  <c r="AV140" i="55"/>
  <c r="AU140" i="55"/>
  <c r="AT140" i="55"/>
  <c r="AS140" i="55"/>
  <c r="AR140" i="55"/>
  <c r="AQ140" i="55"/>
  <c r="AP140" i="55"/>
  <c r="AO140" i="55"/>
  <c r="AN140" i="55"/>
  <c r="AM140" i="55"/>
  <c r="AL140" i="55"/>
  <c r="AK140" i="55"/>
  <c r="AJ140" i="55"/>
  <c r="AI140" i="55"/>
  <c r="AH140" i="55"/>
  <c r="AG140" i="55"/>
  <c r="AF140" i="55"/>
  <c r="AE140" i="55"/>
  <c r="AD140" i="55"/>
  <c r="AC140" i="55"/>
  <c r="AB140" i="55"/>
  <c r="AA140" i="55"/>
  <c r="Z140" i="55"/>
  <c r="Y140" i="55"/>
  <c r="X140" i="55"/>
  <c r="AI4" i="64"/>
  <c r="AI5" i="64"/>
  <c r="AI6" i="64"/>
  <c r="AI7" i="64"/>
  <c r="AI8" i="64"/>
  <c r="AI9" i="64"/>
  <c r="AI10" i="64"/>
  <c r="AI11" i="64"/>
  <c r="AI12" i="64"/>
  <c r="AI13" i="64"/>
  <c r="AI14" i="64"/>
  <c r="AI15" i="64"/>
  <c r="AI16" i="64"/>
  <c r="AI17" i="64"/>
  <c r="AI18" i="64"/>
  <c r="AI19" i="64"/>
  <c r="AI20" i="64"/>
  <c r="AI21" i="64"/>
  <c r="AI22" i="64"/>
  <c r="AI23" i="64"/>
  <c r="AI24" i="64"/>
  <c r="AI25" i="64"/>
  <c r="AI26" i="64"/>
  <c r="AI27" i="64"/>
  <c r="AI28" i="64"/>
  <c r="AI29" i="64"/>
  <c r="AI30" i="64"/>
  <c r="AI31" i="64"/>
  <c r="AI32" i="64"/>
  <c r="AI3" i="64"/>
  <c r="BA139" i="55"/>
  <c r="AZ139" i="55"/>
  <c r="AY139" i="55"/>
  <c r="AX139" i="55"/>
  <c r="AW139" i="55"/>
  <c r="AV139" i="55"/>
  <c r="AU139" i="55"/>
  <c r="AT139" i="55"/>
  <c r="AS139" i="55"/>
  <c r="AR139" i="55"/>
  <c r="AQ139" i="55"/>
  <c r="AP139" i="55"/>
  <c r="AO139" i="55"/>
  <c r="AN139" i="55"/>
  <c r="AM139" i="55"/>
  <c r="AL139" i="55"/>
  <c r="AK139" i="55"/>
  <c r="AJ139" i="55"/>
  <c r="AI139" i="55"/>
  <c r="AH139" i="55"/>
  <c r="AG139" i="55"/>
  <c r="AF139" i="55"/>
  <c r="AE139" i="55"/>
  <c r="AD139" i="55"/>
  <c r="AC139" i="55"/>
  <c r="AB139" i="55"/>
  <c r="AA139" i="55"/>
  <c r="Z139" i="55"/>
  <c r="Y139" i="55"/>
  <c r="X139" i="55"/>
  <c r="AH4" i="64"/>
  <c r="AH5" i="64"/>
  <c r="AH6" i="64"/>
  <c r="AH7" i="64"/>
  <c r="AH8" i="64"/>
  <c r="AH9" i="64"/>
  <c r="AH10" i="64"/>
  <c r="AH11" i="64"/>
  <c r="AH12" i="64"/>
  <c r="AH13" i="64"/>
  <c r="AH14" i="64"/>
  <c r="AH15" i="64"/>
  <c r="AH16" i="64"/>
  <c r="AH17" i="64"/>
  <c r="AH18" i="64"/>
  <c r="AH19" i="64"/>
  <c r="AH20" i="64"/>
  <c r="AH21" i="64"/>
  <c r="AH22" i="64"/>
  <c r="AH23" i="64"/>
  <c r="AH24" i="64"/>
  <c r="AH25" i="64"/>
  <c r="AH26" i="64"/>
  <c r="AH27" i="64"/>
  <c r="AH28" i="64"/>
  <c r="AH29" i="64"/>
  <c r="AH30" i="64"/>
  <c r="AH31" i="64"/>
  <c r="AH32" i="64"/>
  <c r="AH3" i="64"/>
  <c r="BA138" i="55"/>
  <c r="AZ138" i="55"/>
  <c r="AY138" i="55"/>
  <c r="AX138" i="55"/>
  <c r="AW138" i="55"/>
  <c r="AV138" i="55"/>
  <c r="AU138" i="55"/>
  <c r="AT138" i="55"/>
  <c r="AS138" i="55"/>
  <c r="AR138" i="55"/>
  <c r="AQ138" i="55"/>
  <c r="AP138" i="55"/>
  <c r="AO138" i="55"/>
  <c r="AN138" i="55"/>
  <c r="AM138" i="55"/>
  <c r="AL138" i="55"/>
  <c r="AK138" i="55"/>
  <c r="AJ138" i="55"/>
  <c r="AI138" i="55"/>
  <c r="AH138" i="55"/>
  <c r="AG138" i="55"/>
  <c r="AF138" i="55"/>
  <c r="AE138" i="55"/>
  <c r="AD138" i="55"/>
  <c r="AC138" i="55"/>
  <c r="AB138" i="55"/>
  <c r="AA138" i="55"/>
  <c r="Z138" i="55"/>
  <c r="Y138" i="55"/>
  <c r="X138" i="55"/>
  <c r="AG4" i="64"/>
  <c r="AG5" i="64"/>
  <c r="AG6" i="64"/>
  <c r="AG7" i="64"/>
  <c r="AG8" i="64"/>
  <c r="AG9" i="64"/>
  <c r="AG10" i="64"/>
  <c r="AG11" i="64"/>
  <c r="AG12" i="64"/>
  <c r="AG13" i="64"/>
  <c r="AG14" i="64"/>
  <c r="AG15" i="64"/>
  <c r="AG16" i="64"/>
  <c r="AG17" i="64"/>
  <c r="AG18" i="64"/>
  <c r="AG19" i="64"/>
  <c r="AG20" i="64"/>
  <c r="AG21" i="64"/>
  <c r="AG22" i="64"/>
  <c r="AG23" i="64"/>
  <c r="AG24" i="64"/>
  <c r="AG25" i="64"/>
  <c r="AG26" i="64"/>
  <c r="AG27" i="64"/>
  <c r="AG28" i="64"/>
  <c r="AG29" i="64"/>
  <c r="AG30" i="64"/>
  <c r="AG31" i="64"/>
  <c r="AG32" i="64"/>
  <c r="AG3" i="64"/>
  <c r="AX137" i="55"/>
  <c r="AW137" i="55"/>
  <c r="AV137" i="55"/>
  <c r="AU137" i="55"/>
  <c r="AT137" i="55"/>
  <c r="BA137" i="55"/>
  <c r="AZ137" i="55"/>
  <c r="AY137" i="55"/>
  <c r="AS137" i="55"/>
  <c r="AR137" i="55"/>
  <c r="AQ137" i="55"/>
  <c r="AP137" i="55"/>
  <c r="AO137" i="55"/>
  <c r="AN137" i="55"/>
  <c r="AM137" i="55"/>
  <c r="AL137" i="55"/>
  <c r="AK137" i="55"/>
  <c r="AJ137" i="55"/>
  <c r="AI137" i="55"/>
  <c r="AH137" i="55"/>
  <c r="AG137" i="55"/>
  <c r="AF137" i="55"/>
  <c r="AE137" i="55"/>
  <c r="AD137" i="55"/>
  <c r="AC137" i="55"/>
  <c r="AB137" i="55"/>
  <c r="AA137" i="55"/>
  <c r="Z137" i="55"/>
  <c r="Y137" i="55"/>
  <c r="X137" i="55"/>
  <c r="AF4" i="64"/>
  <c r="AF5" i="64"/>
  <c r="AF6" i="64"/>
  <c r="AF7" i="64"/>
  <c r="AF8" i="64"/>
  <c r="AF9" i="64"/>
  <c r="AF10" i="64"/>
  <c r="AF11" i="64"/>
  <c r="AF12" i="64"/>
  <c r="AF13" i="64"/>
  <c r="AF14" i="64"/>
  <c r="AF15" i="64"/>
  <c r="AF16" i="64"/>
  <c r="AF17" i="64"/>
  <c r="AF18" i="64"/>
  <c r="AF19" i="64"/>
  <c r="AF20" i="64"/>
  <c r="AF21" i="64"/>
  <c r="AF22" i="64"/>
  <c r="AF23" i="64"/>
  <c r="AF24" i="64"/>
  <c r="AF25" i="64"/>
  <c r="AF26" i="64"/>
  <c r="AF27" i="64"/>
  <c r="AF28" i="64"/>
  <c r="AF29" i="64"/>
  <c r="AF30" i="64"/>
  <c r="AF31" i="64"/>
  <c r="AF32" i="64"/>
  <c r="AF3" i="64"/>
  <c r="BA136" i="55"/>
  <c r="AZ136" i="55"/>
  <c r="AY136" i="55"/>
  <c r="AX136" i="55"/>
  <c r="AW136" i="55"/>
  <c r="AV136" i="55"/>
  <c r="AU136" i="55"/>
  <c r="AT136" i="55"/>
  <c r="AS136" i="55"/>
  <c r="AR136" i="55"/>
  <c r="AQ136" i="55"/>
  <c r="AP136" i="55"/>
  <c r="AO136" i="55"/>
  <c r="AN136" i="55"/>
  <c r="AM136" i="55"/>
  <c r="AL136" i="55"/>
  <c r="AK136" i="55"/>
  <c r="AJ136" i="55"/>
  <c r="AI136" i="55"/>
  <c r="AH136" i="55"/>
  <c r="AG136" i="55"/>
  <c r="AF136" i="55"/>
  <c r="AE136" i="55"/>
  <c r="AD136" i="55"/>
  <c r="AC136" i="55"/>
  <c r="AB136" i="55"/>
  <c r="AA136" i="55"/>
  <c r="Y136" i="55"/>
  <c r="Z136" i="55"/>
  <c r="X136" i="55"/>
  <c r="AE4" i="64"/>
  <c r="AE5" i="64"/>
  <c r="AE6" i="64"/>
  <c r="AE7" i="64"/>
  <c r="AE8" i="64"/>
  <c r="AE9" i="64"/>
  <c r="AE10" i="64"/>
  <c r="AE11" i="64"/>
  <c r="AE12" i="64"/>
  <c r="AE13" i="64"/>
  <c r="AE14" i="64"/>
  <c r="AE15" i="64"/>
  <c r="AE16" i="64"/>
  <c r="AE17" i="64"/>
  <c r="AE18" i="64"/>
  <c r="AE19" i="64"/>
  <c r="AE20" i="64"/>
  <c r="AE21" i="64"/>
  <c r="AE22" i="64"/>
  <c r="AE23" i="64"/>
  <c r="AE24" i="64"/>
  <c r="AE25" i="64"/>
  <c r="AE26" i="64"/>
  <c r="AE27" i="64"/>
  <c r="AE28" i="64"/>
  <c r="AE29" i="64"/>
  <c r="AE30" i="64"/>
  <c r="AE31" i="64"/>
  <c r="AE32" i="64"/>
  <c r="AE3" i="64"/>
  <c r="BA135" i="55"/>
  <c r="AZ135" i="55"/>
  <c r="AY135" i="55"/>
  <c r="AX135" i="55"/>
  <c r="AW135" i="55"/>
  <c r="AV135" i="55"/>
  <c r="AU135" i="55"/>
  <c r="AT135" i="55"/>
  <c r="AS135" i="55"/>
  <c r="AR135" i="55"/>
  <c r="AQ135" i="55"/>
  <c r="AP135" i="55"/>
  <c r="AO135" i="55"/>
  <c r="AN135" i="55"/>
  <c r="AM135" i="55"/>
  <c r="AL135" i="55"/>
  <c r="AK135" i="55"/>
  <c r="AJ135" i="55"/>
  <c r="AI135" i="55"/>
  <c r="AH135" i="55"/>
  <c r="AG135" i="55"/>
  <c r="AF135" i="55"/>
  <c r="AE135" i="55"/>
  <c r="AD135" i="55"/>
  <c r="AC135" i="55"/>
  <c r="AB135" i="55"/>
  <c r="AA135" i="55"/>
  <c r="Z135" i="55"/>
  <c r="Y135" i="55"/>
  <c r="X135" i="55"/>
  <c r="AD4" i="64"/>
  <c r="AD5" i="64"/>
  <c r="AD6" i="64"/>
  <c r="AD7" i="64"/>
  <c r="AD8" i="64"/>
  <c r="AD9" i="64"/>
  <c r="AD10" i="64"/>
  <c r="AD11" i="64"/>
  <c r="AD12" i="64"/>
  <c r="AD13" i="64"/>
  <c r="AD14" i="64"/>
  <c r="AD15" i="64"/>
  <c r="AD16" i="64"/>
  <c r="AD17" i="64"/>
  <c r="AD18" i="64"/>
  <c r="AD19" i="64"/>
  <c r="AD20" i="64"/>
  <c r="AD21" i="64"/>
  <c r="AD22" i="64"/>
  <c r="AD23" i="64"/>
  <c r="AD24" i="64"/>
  <c r="AD25" i="64"/>
  <c r="AD26" i="64"/>
  <c r="AD27" i="64"/>
  <c r="AD28" i="64"/>
  <c r="AD29" i="64"/>
  <c r="AD30" i="64"/>
  <c r="AD31" i="64"/>
  <c r="AD32" i="64"/>
  <c r="AD3" i="64"/>
  <c r="BA134" i="55"/>
  <c r="AZ134" i="55"/>
  <c r="AY134" i="55"/>
  <c r="AX134" i="55"/>
  <c r="AW134" i="55"/>
  <c r="AV134" i="55"/>
  <c r="AU134" i="55"/>
  <c r="AT134" i="55"/>
  <c r="AS134" i="55"/>
  <c r="AR134" i="55"/>
  <c r="AQ134" i="55"/>
  <c r="AP134" i="55"/>
  <c r="AO134" i="55"/>
  <c r="AN134" i="55"/>
  <c r="AM134" i="55"/>
  <c r="AL134" i="55"/>
  <c r="AK134" i="55"/>
  <c r="AJ134" i="55"/>
  <c r="AI134" i="55"/>
  <c r="AH134" i="55"/>
  <c r="AG134" i="55"/>
  <c r="AF134" i="55"/>
  <c r="AE134" i="55"/>
  <c r="AD134" i="55"/>
  <c r="AC134" i="55"/>
  <c r="AB134" i="55"/>
  <c r="AA134" i="55"/>
  <c r="Z134" i="55"/>
  <c r="Y134" i="55"/>
  <c r="X134" i="55"/>
  <c r="AC4" i="64"/>
  <c r="AC5" i="64"/>
  <c r="AC6" i="64"/>
  <c r="AC7" i="64"/>
  <c r="AC8" i="64"/>
  <c r="AC9" i="64"/>
  <c r="AC10" i="64"/>
  <c r="AC11" i="64"/>
  <c r="AC12" i="64"/>
  <c r="AC13" i="64"/>
  <c r="AC14" i="64"/>
  <c r="AC15" i="64"/>
  <c r="AC16" i="64"/>
  <c r="AC17" i="64"/>
  <c r="AC18" i="64"/>
  <c r="AC19" i="64"/>
  <c r="AC20" i="64"/>
  <c r="AC21" i="64"/>
  <c r="AC22" i="64"/>
  <c r="AC23" i="64"/>
  <c r="AC24" i="64"/>
  <c r="AC25" i="64"/>
  <c r="AC26" i="64"/>
  <c r="AC27" i="64"/>
  <c r="AC28" i="64"/>
  <c r="AC29" i="64"/>
  <c r="AC30" i="64"/>
  <c r="AC31" i="64"/>
  <c r="AC32" i="64"/>
  <c r="AC3" i="64"/>
  <c r="BA129" i="55"/>
  <c r="AZ129" i="55"/>
  <c r="AY129" i="55"/>
  <c r="AX129" i="55"/>
  <c r="AW129" i="55"/>
  <c r="AV129" i="55"/>
  <c r="AU129" i="55"/>
  <c r="AT129" i="55"/>
  <c r="AS129" i="55"/>
  <c r="AR129" i="55"/>
  <c r="AQ129" i="55"/>
  <c r="AP129" i="55"/>
  <c r="AO129" i="55"/>
  <c r="AN129" i="55"/>
  <c r="AM129" i="55"/>
  <c r="AL129" i="55"/>
  <c r="AK129" i="55"/>
  <c r="AJ129" i="55"/>
  <c r="AI129" i="55"/>
  <c r="AH129" i="55"/>
  <c r="AG129" i="55"/>
  <c r="AF129" i="55"/>
  <c r="AE129" i="55"/>
  <c r="AD129" i="55"/>
  <c r="AC129" i="55"/>
  <c r="AB129" i="55"/>
  <c r="AA129" i="55"/>
  <c r="Z129" i="55"/>
  <c r="Y129" i="55"/>
  <c r="X129" i="55"/>
  <c r="AB5" i="64"/>
  <c r="AB6" i="64"/>
  <c r="AB7" i="64"/>
  <c r="AB8" i="64"/>
  <c r="AB9" i="64"/>
  <c r="AB10" i="64"/>
  <c r="AB11" i="64"/>
  <c r="AB12" i="64"/>
  <c r="AB13" i="64"/>
  <c r="AB14" i="64"/>
  <c r="AB15" i="64"/>
  <c r="AB16" i="64"/>
  <c r="AB17" i="64"/>
  <c r="AB18" i="64"/>
  <c r="AB19" i="64"/>
  <c r="AB20" i="64"/>
  <c r="AB21" i="64"/>
  <c r="AB22" i="64"/>
  <c r="AB23" i="64"/>
  <c r="AB24" i="64"/>
  <c r="AB25" i="64"/>
  <c r="AB26" i="64"/>
  <c r="AB27" i="64"/>
  <c r="AB28" i="64"/>
  <c r="AB29" i="64"/>
  <c r="AB30" i="64"/>
  <c r="AB31" i="64"/>
  <c r="AB32" i="64"/>
  <c r="AB4" i="64"/>
  <c r="AB3" i="64"/>
  <c r="AU127" i="55"/>
  <c r="BA127" i="55"/>
  <c r="AZ127" i="55"/>
  <c r="AY127" i="55"/>
  <c r="AX127" i="55"/>
  <c r="AW127" i="55"/>
  <c r="AV127" i="55"/>
  <c r="AT127" i="55"/>
  <c r="AS127" i="55"/>
  <c r="AR127" i="55"/>
  <c r="AQ127" i="55"/>
  <c r="AP127" i="55"/>
  <c r="AO127" i="55"/>
  <c r="AN127" i="55"/>
  <c r="AM127" i="55"/>
  <c r="AL127" i="55"/>
  <c r="AK127" i="55"/>
  <c r="AJ127" i="55"/>
  <c r="AI127" i="55"/>
  <c r="AH127" i="55"/>
  <c r="AG127" i="55"/>
  <c r="AF127" i="55"/>
  <c r="AE127" i="55"/>
  <c r="AD127" i="55"/>
  <c r="AC127" i="55"/>
  <c r="AB127" i="55"/>
  <c r="AA127" i="55"/>
  <c r="D34" i="64"/>
  <c r="Z127" i="55"/>
  <c r="Y127" i="55"/>
  <c r="X127" i="55"/>
  <c r="AD27" i="60" l="1"/>
  <c r="AD30" i="60" s="1"/>
  <c r="M34" i="60" l="1"/>
  <c r="R34" i="60"/>
  <c r="N33" i="60"/>
  <c r="CH15" i="55" l="1"/>
  <c r="CJ19" i="55"/>
  <c r="Y12" i="65" s="1"/>
  <c r="CJ20" i="55"/>
  <c r="Y13" i="65" s="1"/>
  <c r="CJ21" i="55"/>
  <c r="Y14" i="65" s="1"/>
  <c r="CJ22" i="55"/>
  <c r="Y15" i="65" s="1"/>
  <c r="CJ23" i="55"/>
  <c r="Y16" i="65" s="1"/>
  <c r="CJ24" i="55"/>
  <c r="Y17" i="65" s="1"/>
  <c r="CJ25" i="55"/>
  <c r="Y18" i="65" s="1"/>
  <c r="CJ26" i="55"/>
  <c r="Y19" i="65" s="1"/>
  <c r="CJ27" i="55"/>
  <c r="Y20" i="65" s="1"/>
  <c r="CJ28" i="55"/>
  <c r="Y21" i="65" s="1"/>
  <c r="CJ29" i="55"/>
  <c r="Y22" i="65" s="1"/>
  <c r="CJ30" i="55"/>
  <c r="Y23" i="65" s="1"/>
  <c r="CJ31" i="55"/>
  <c r="Y24" i="65" s="1"/>
  <c r="CJ32" i="55"/>
  <c r="Y25" i="65" s="1"/>
  <c r="CJ33" i="55"/>
  <c r="Y26" i="65" s="1"/>
  <c r="CJ34" i="55"/>
  <c r="Y27" i="65" s="1"/>
  <c r="CJ35" i="55"/>
  <c r="Y28" i="65" s="1"/>
  <c r="CJ36" i="55"/>
  <c r="Y29" i="65" s="1"/>
  <c r="CJ37" i="55"/>
  <c r="Y30" i="65" s="1"/>
  <c r="CJ38" i="55"/>
  <c r="Y31" i="65" s="1"/>
  <c r="CJ39" i="55"/>
  <c r="Y32" i="65" s="1"/>
  <c r="CJ40" i="55"/>
  <c r="Y33" i="65" s="1"/>
  <c r="CJ41" i="55"/>
  <c r="Y34" i="65" s="1"/>
  <c r="CJ42" i="55"/>
  <c r="Y35" i="65" s="1"/>
  <c r="CJ43" i="55"/>
  <c r="Y36" i="65" s="1"/>
  <c r="CJ44" i="55"/>
  <c r="Y37" i="65" s="1"/>
  <c r="CJ45" i="55"/>
  <c r="Y38" i="65" s="1"/>
  <c r="CJ46" i="55"/>
  <c r="Y39" i="65" s="1"/>
  <c r="CJ47" i="55"/>
  <c r="Y40" i="65" s="1"/>
  <c r="CJ18" i="55"/>
  <c r="Y11" i="65" s="1"/>
  <c r="CH19" i="55"/>
  <c r="X12" i="65" s="1"/>
  <c r="CH20" i="55"/>
  <c r="X13" i="65" s="1"/>
  <c r="CH21" i="55"/>
  <c r="X14" i="65" s="1"/>
  <c r="CH22" i="55"/>
  <c r="X15" i="65" s="1"/>
  <c r="CH23" i="55"/>
  <c r="X16" i="65" s="1"/>
  <c r="CH24" i="55"/>
  <c r="X17" i="65" s="1"/>
  <c r="CH25" i="55"/>
  <c r="X18" i="65" s="1"/>
  <c r="CH26" i="55"/>
  <c r="X19" i="65" s="1"/>
  <c r="CH27" i="55"/>
  <c r="X20" i="65" s="1"/>
  <c r="CH28" i="55"/>
  <c r="X21" i="65" s="1"/>
  <c r="CH29" i="55"/>
  <c r="X22" i="65" s="1"/>
  <c r="CH30" i="55"/>
  <c r="X23" i="65" s="1"/>
  <c r="CH31" i="55"/>
  <c r="X24" i="65" s="1"/>
  <c r="CH32" i="55"/>
  <c r="X25" i="65" s="1"/>
  <c r="CH33" i="55"/>
  <c r="X26" i="65" s="1"/>
  <c r="CH34" i="55"/>
  <c r="X27" i="65" s="1"/>
  <c r="CH35" i="55"/>
  <c r="X28" i="65" s="1"/>
  <c r="CH36" i="55"/>
  <c r="X29" i="65" s="1"/>
  <c r="CH37" i="55"/>
  <c r="X30" i="65" s="1"/>
  <c r="CH38" i="55"/>
  <c r="X31" i="65" s="1"/>
  <c r="CH39" i="55"/>
  <c r="X32" i="65" s="1"/>
  <c r="CH40" i="55"/>
  <c r="X33" i="65" s="1"/>
  <c r="CH41" i="55"/>
  <c r="X34" i="65" s="1"/>
  <c r="CH42" i="55"/>
  <c r="X35" i="65" s="1"/>
  <c r="CH43" i="55"/>
  <c r="X36" i="65" s="1"/>
  <c r="CH44" i="55"/>
  <c r="X37" i="65" s="1"/>
  <c r="CH45" i="55"/>
  <c r="X38" i="65" s="1"/>
  <c r="CH46" i="55"/>
  <c r="X39" i="65" s="1"/>
  <c r="CH47" i="55"/>
  <c r="X40" i="65" s="1"/>
  <c r="CH18" i="55"/>
  <c r="X11" i="65" s="1"/>
  <c r="BF38" i="55" l="1"/>
  <c r="U49" i="55"/>
  <c r="C4" i="71" l="1"/>
  <c r="C5" i="71"/>
  <c r="C10" i="71"/>
  <c r="C16" i="71"/>
  <c r="C24" i="71"/>
  <c r="C25" i="71"/>
  <c r="C29" i="71"/>
  <c r="C30" i="71"/>
  <c r="C31" i="71"/>
  <c r="B3" i="71"/>
  <c r="B4" i="71"/>
  <c r="B5" i="71"/>
  <c r="B6" i="71"/>
  <c r="B7" i="71"/>
  <c r="B8" i="71"/>
  <c r="B9" i="71"/>
  <c r="B10" i="71"/>
  <c r="B11" i="71"/>
  <c r="B12" i="71"/>
  <c r="B13" i="71"/>
  <c r="B14" i="71"/>
  <c r="B15" i="71"/>
  <c r="B16" i="71"/>
  <c r="B17" i="71"/>
  <c r="B18" i="71"/>
  <c r="B19" i="71"/>
  <c r="B20" i="71"/>
  <c r="B21" i="71"/>
  <c r="B22" i="71"/>
  <c r="B23" i="71"/>
  <c r="B24" i="71"/>
  <c r="B25" i="71"/>
  <c r="B26" i="71"/>
  <c r="B27" i="71"/>
  <c r="B28" i="71"/>
  <c r="B29" i="71"/>
  <c r="B30" i="71"/>
  <c r="B31" i="71"/>
  <c r="A3" i="71"/>
  <c r="A4" i="71"/>
  <c r="A5" i="71"/>
  <c r="A6" i="71"/>
  <c r="A7" i="71"/>
  <c r="A8" i="71"/>
  <c r="A9" i="71"/>
  <c r="A10" i="71"/>
  <c r="A11" i="71"/>
  <c r="A12" i="71"/>
  <c r="A13" i="71"/>
  <c r="A14" i="71"/>
  <c r="A15" i="71"/>
  <c r="A16" i="71"/>
  <c r="A17" i="71"/>
  <c r="A18" i="71"/>
  <c r="A19" i="71"/>
  <c r="A20" i="71"/>
  <c r="A21" i="71"/>
  <c r="A22" i="71"/>
  <c r="A23" i="71"/>
  <c r="A24" i="71"/>
  <c r="A25" i="71"/>
  <c r="A26" i="71"/>
  <c r="A27" i="71"/>
  <c r="A28" i="71"/>
  <c r="A29" i="71"/>
  <c r="A30" i="71"/>
  <c r="A31" i="71"/>
  <c r="C31" i="72"/>
  <c r="C2" i="72"/>
  <c r="A3" i="72"/>
  <c r="A4" i="72"/>
  <c r="A5" i="72"/>
  <c r="A6" i="72"/>
  <c r="A7" i="72"/>
  <c r="A8" i="72"/>
  <c r="A9" i="72"/>
  <c r="A10" i="72"/>
  <c r="A11" i="72"/>
  <c r="A12" i="72"/>
  <c r="A13" i="72"/>
  <c r="A14" i="72"/>
  <c r="A15" i="72"/>
  <c r="A16" i="72"/>
  <c r="A17" i="72"/>
  <c r="A18" i="72"/>
  <c r="A19" i="72"/>
  <c r="A20" i="72"/>
  <c r="A21" i="72"/>
  <c r="A22" i="72"/>
  <c r="A23" i="72"/>
  <c r="A24" i="72"/>
  <c r="A25" i="72"/>
  <c r="A26" i="72"/>
  <c r="A27" i="72"/>
  <c r="A28" i="72"/>
  <c r="A29" i="72"/>
  <c r="A30" i="72"/>
  <c r="A31" i="72"/>
  <c r="B2" i="72"/>
  <c r="C3" i="72"/>
  <c r="C4" i="72"/>
  <c r="C5" i="72"/>
  <c r="C6" i="72"/>
  <c r="C7" i="72"/>
  <c r="C8" i="72"/>
  <c r="C9" i="72"/>
  <c r="C10" i="72"/>
  <c r="C11" i="72"/>
  <c r="C12" i="72"/>
  <c r="C13" i="72"/>
  <c r="C14" i="72"/>
  <c r="C15" i="72"/>
  <c r="C16" i="72"/>
  <c r="C17" i="72"/>
  <c r="C18" i="72"/>
  <c r="C19" i="72"/>
  <c r="C20" i="72"/>
  <c r="C21" i="72"/>
  <c r="C22" i="72"/>
  <c r="C23" i="72"/>
  <c r="C24" i="72"/>
  <c r="C25" i="72"/>
  <c r="C26" i="72"/>
  <c r="C27" i="72"/>
  <c r="C28" i="72"/>
  <c r="C29" i="72"/>
  <c r="C30" i="72"/>
  <c r="B3" i="72"/>
  <c r="B4" i="72"/>
  <c r="B5" i="72"/>
  <c r="B6" i="72"/>
  <c r="B7" i="72"/>
  <c r="B8" i="72"/>
  <c r="B9" i="72"/>
  <c r="B10" i="72"/>
  <c r="B11" i="72"/>
  <c r="B12" i="72"/>
  <c r="B13" i="72"/>
  <c r="B14" i="72"/>
  <c r="B15" i="72"/>
  <c r="B16" i="72"/>
  <c r="B17" i="72"/>
  <c r="B18" i="72"/>
  <c r="B19" i="72"/>
  <c r="B20" i="72"/>
  <c r="B21" i="72"/>
  <c r="B22" i="72"/>
  <c r="B23" i="72"/>
  <c r="B24" i="72"/>
  <c r="B25" i="72"/>
  <c r="B26" i="72"/>
  <c r="B27" i="72"/>
  <c r="B28" i="72"/>
  <c r="B29" i="72"/>
  <c r="B30" i="72"/>
  <c r="B31" i="72"/>
  <c r="A2" i="72"/>
  <c r="B2" i="71"/>
  <c r="A2" i="71"/>
  <c r="I11" i="71" l="1"/>
  <c r="J37" i="72"/>
  <c r="H4" i="72"/>
  <c r="H10" i="72"/>
  <c r="I6" i="71"/>
  <c r="I22" i="71"/>
  <c r="I14" i="71"/>
  <c r="I21" i="71"/>
  <c r="I28" i="71"/>
  <c r="I20" i="71"/>
  <c r="I12" i="71"/>
  <c r="I19" i="71"/>
  <c r="I26" i="71"/>
  <c r="I18" i="71"/>
  <c r="I10" i="71"/>
  <c r="I17" i="71"/>
  <c r="I9" i="71"/>
  <c r="I24" i="71"/>
  <c r="I16" i="71"/>
  <c r="I8" i="71"/>
  <c r="I27" i="71"/>
  <c r="I25" i="71"/>
  <c r="I31" i="71"/>
  <c r="I23" i="71"/>
  <c r="I15" i="71"/>
  <c r="I7" i="71"/>
  <c r="I30" i="71"/>
  <c r="I29" i="71"/>
  <c r="I13" i="71"/>
  <c r="I5" i="71"/>
  <c r="I27" i="72"/>
  <c r="I26" i="72"/>
  <c r="I19" i="72"/>
  <c r="I18" i="72"/>
  <c r="I10" i="72"/>
  <c r="I3" i="72"/>
  <c r="H3" i="72"/>
  <c r="H27" i="72"/>
  <c r="H26" i="72"/>
  <c r="H19" i="72"/>
  <c r="H18" i="72"/>
  <c r="I11" i="72"/>
  <c r="H11" i="72"/>
  <c r="I2" i="72"/>
  <c r="I25" i="72"/>
  <c r="I17" i="72"/>
  <c r="I9" i="72"/>
  <c r="H2" i="72"/>
  <c r="H25" i="72"/>
  <c r="H17" i="72"/>
  <c r="H9" i="72"/>
  <c r="I32" i="72"/>
  <c r="I24" i="72"/>
  <c r="I16" i="72"/>
  <c r="I8" i="72"/>
  <c r="H32" i="72"/>
  <c r="H24" i="72"/>
  <c r="H16" i="72"/>
  <c r="H8" i="72"/>
  <c r="I31" i="72"/>
  <c r="I23" i="72"/>
  <c r="I15" i="72"/>
  <c r="I7" i="72"/>
  <c r="H31" i="72"/>
  <c r="H23" i="72"/>
  <c r="H15" i="72"/>
  <c r="H7" i="72"/>
  <c r="I30" i="72"/>
  <c r="I22" i="72"/>
  <c r="I14" i="72"/>
  <c r="I6" i="72"/>
  <c r="H30" i="72"/>
  <c r="H22" i="72"/>
  <c r="H14" i="72"/>
  <c r="H6" i="72"/>
  <c r="I29" i="72"/>
  <c r="I21" i="72"/>
  <c r="I13" i="72"/>
  <c r="I5" i="72"/>
  <c r="H29" i="72"/>
  <c r="H21" i="72"/>
  <c r="H13" i="72"/>
  <c r="H5" i="72"/>
  <c r="I28" i="72"/>
  <c r="I20" i="72"/>
  <c r="I12" i="72"/>
  <c r="I4" i="72"/>
  <c r="H28" i="72"/>
  <c r="H20" i="72"/>
  <c r="H12" i="72"/>
  <c r="C28" i="71" l="1"/>
  <c r="C27" i="71"/>
  <c r="C26" i="71"/>
  <c r="C20" i="71"/>
  <c r="C23" i="71"/>
  <c r="C22" i="71"/>
  <c r="C21" i="71"/>
  <c r="C19" i="71"/>
  <c r="C18" i="71"/>
  <c r="I4" i="71" s="1"/>
  <c r="C17" i="71"/>
  <c r="C15" i="71"/>
  <c r="C14" i="71"/>
  <c r="C13" i="71"/>
  <c r="C12" i="71"/>
  <c r="C11" i="71"/>
  <c r="C9" i="71"/>
  <c r="C8" i="71"/>
  <c r="C7" i="71"/>
  <c r="C6" i="71"/>
  <c r="C3" i="71"/>
  <c r="C2" i="71"/>
  <c r="I32" i="71" l="1"/>
  <c r="I3" i="71"/>
  <c r="H27" i="71"/>
  <c r="H26" i="71"/>
  <c r="H7" i="71"/>
  <c r="H19" i="71"/>
  <c r="H18" i="71"/>
  <c r="H30" i="71"/>
  <c r="H29" i="71"/>
  <c r="H5" i="71"/>
  <c r="H11" i="71"/>
  <c r="H10" i="71"/>
  <c r="H22" i="71"/>
  <c r="H21" i="71"/>
  <c r="H4" i="71"/>
  <c r="H28" i="71"/>
  <c r="H3" i="71"/>
  <c r="H32" i="71"/>
  <c r="H14" i="71"/>
  <c r="H13" i="71"/>
  <c r="H17" i="71"/>
  <c r="H8" i="71"/>
  <c r="H23" i="71"/>
  <c r="H20" i="71"/>
  <c r="H24" i="71"/>
  <c r="H6" i="71"/>
  <c r="H12" i="71"/>
  <c r="H25" i="71"/>
  <c r="H16" i="71"/>
  <c r="H31" i="71"/>
  <c r="H9" i="71"/>
  <c r="H15" i="71"/>
  <c r="M49" i="55"/>
  <c r="I2" i="71"/>
  <c r="H2" i="71"/>
  <c r="X18" i="60" l="1"/>
  <c r="AD18" i="60"/>
  <c r="AB18" i="60"/>
  <c r="Z18" i="60"/>
  <c r="V18" i="60"/>
  <c r="Z15" i="60"/>
  <c r="AC126" i="65" l="1"/>
  <c r="AD126" i="65"/>
  <c r="AE126" i="65"/>
  <c r="AF126" i="65"/>
  <c r="AG126" i="65"/>
  <c r="AH126" i="65"/>
  <c r="AI126" i="65"/>
  <c r="AJ126" i="65"/>
  <c r="AK126" i="65"/>
  <c r="AL126" i="65"/>
  <c r="AM126" i="65"/>
  <c r="AN126" i="65"/>
  <c r="AO126" i="65"/>
  <c r="AP126" i="65"/>
  <c r="AQ126" i="65"/>
  <c r="AR126" i="65"/>
  <c r="AS126" i="65"/>
  <c r="AT126" i="65"/>
  <c r="AU126" i="65"/>
  <c r="AV126" i="65"/>
  <c r="AW126" i="65"/>
  <c r="AX126" i="65"/>
  <c r="AY126" i="65"/>
  <c r="AZ126" i="65"/>
  <c r="BA126" i="65"/>
  <c r="BB126" i="65"/>
  <c r="BC126" i="65"/>
  <c r="BD126" i="65"/>
  <c r="BE126" i="65"/>
  <c r="BF126" i="65"/>
  <c r="AC127" i="65"/>
  <c r="AD127" i="65"/>
  <c r="AE127" i="65"/>
  <c r="AF127" i="65"/>
  <c r="AG127" i="65"/>
  <c r="AH127" i="65"/>
  <c r="AI127" i="65"/>
  <c r="AJ127" i="65"/>
  <c r="AK127" i="65"/>
  <c r="AL127" i="65"/>
  <c r="AM127" i="65"/>
  <c r="AN127" i="65"/>
  <c r="AO127" i="65"/>
  <c r="AP127" i="65"/>
  <c r="AQ127" i="65"/>
  <c r="AR127" i="65"/>
  <c r="AS127" i="65"/>
  <c r="AT127" i="65"/>
  <c r="AU127" i="65"/>
  <c r="AV127" i="65"/>
  <c r="AW127" i="65"/>
  <c r="AX127" i="65"/>
  <c r="AY127" i="65"/>
  <c r="AZ127" i="65"/>
  <c r="BA127" i="65"/>
  <c r="BB127" i="65"/>
  <c r="BC127" i="65"/>
  <c r="BD127" i="65"/>
  <c r="BE127" i="65"/>
  <c r="BF127" i="65"/>
  <c r="AC128" i="65"/>
  <c r="AD128" i="65"/>
  <c r="AE128" i="65"/>
  <c r="AF128" i="65"/>
  <c r="AG128" i="65"/>
  <c r="AH128" i="65"/>
  <c r="AI128" i="65"/>
  <c r="AJ128" i="65"/>
  <c r="AK128" i="65"/>
  <c r="AL128" i="65"/>
  <c r="AM128" i="65"/>
  <c r="AN128" i="65"/>
  <c r="AO128" i="65"/>
  <c r="AP128" i="65"/>
  <c r="AQ128" i="65"/>
  <c r="AR128" i="65"/>
  <c r="AS128" i="65"/>
  <c r="AT128" i="65"/>
  <c r="AU128" i="65"/>
  <c r="AV128" i="65"/>
  <c r="AW128" i="65"/>
  <c r="AX128" i="65"/>
  <c r="AY128" i="65"/>
  <c r="AZ128" i="65"/>
  <c r="BA128" i="65"/>
  <c r="BB128" i="65"/>
  <c r="BC128" i="65"/>
  <c r="BD128" i="65"/>
  <c r="BE128" i="65"/>
  <c r="BF128" i="65"/>
  <c r="AC129" i="65"/>
  <c r="AD129" i="65"/>
  <c r="AE129" i="65"/>
  <c r="AF129" i="65"/>
  <c r="AG129" i="65"/>
  <c r="AH129" i="65"/>
  <c r="AI129" i="65"/>
  <c r="AJ129" i="65"/>
  <c r="AK129" i="65"/>
  <c r="AL129" i="65"/>
  <c r="AM129" i="65"/>
  <c r="AN129" i="65"/>
  <c r="AO129" i="65"/>
  <c r="AP129" i="65"/>
  <c r="AQ129" i="65"/>
  <c r="AR129" i="65"/>
  <c r="AS129" i="65"/>
  <c r="AT129" i="65"/>
  <c r="AU129" i="65"/>
  <c r="AV129" i="65"/>
  <c r="AW129" i="65"/>
  <c r="AX129" i="65"/>
  <c r="AY129" i="65"/>
  <c r="AZ129" i="65"/>
  <c r="BA129" i="65"/>
  <c r="BB129" i="65"/>
  <c r="BC129" i="65"/>
  <c r="BD129" i="65"/>
  <c r="BE129" i="65"/>
  <c r="BF129" i="65"/>
  <c r="AC130" i="65"/>
  <c r="AD130" i="65"/>
  <c r="AE130" i="65"/>
  <c r="AF130" i="65"/>
  <c r="AG130" i="65"/>
  <c r="AH130" i="65"/>
  <c r="AI130" i="65"/>
  <c r="AJ130" i="65"/>
  <c r="AK130" i="65"/>
  <c r="AL130" i="65"/>
  <c r="AM130" i="65"/>
  <c r="AN130" i="65"/>
  <c r="AO130" i="65"/>
  <c r="AP130" i="65"/>
  <c r="AQ130" i="65"/>
  <c r="AR130" i="65"/>
  <c r="AS130" i="65"/>
  <c r="AT130" i="65"/>
  <c r="AU130" i="65"/>
  <c r="AV130" i="65"/>
  <c r="AW130" i="65"/>
  <c r="AX130" i="65"/>
  <c r="AY130" i="65"/>
  <c r="AZ130" i="65"/>
  <c r="BA130" i="65"/>
  <c r="BB130" i="65"/>
  <c r="BC130" i="65"/>
  <c r="BD130" i="65"/>
  <c r="BE130" i="65"/>
  <c r="BF130" i="65"/>
  <c r="AC131" i="65"/>
  <c r="AD131" i="65"/>
  <c r="AE131" i="65"/>
  <c r="AF131" i="65"/>
  <c r="AG131" i="65"/>
  <c r="AH131" i="65"/>
  <c r="AI131" i="65"/>
  <c r="AJ131" i="65"/>
  <c r="AK131" i="65"/>
  <c r="AL131" i="65"/>
  <c r="AM131" i="65"/>
  <c r="AN131" i="65"/>
  <c r="AO131" i="65"/>
  <c r="AP131" i="65"/>
  <c r="AQ131" i="65"/>
  <c r="AR131" i="65"/>
  <c r="AS131" i="65"/>
  <c r="AT131" i="65"/>
  <c r="AU131" i="65"/>
  <c r="AV131" i="65"/>
  <c r="AW131" i="65"/>
  <c r="AX131" i="65"/>
  <c r="AY131" i="65"/>
  <c r="AZ131" i="65"/>
  <c r="BA131" i="65"/>
  <c r="BB131" i="65"/>
  <c r="BC131" i="65"/>
  <c r="BD131" i="65"/>
  <c r="BE131" i="65"/>
  <c r="BF131" i="65"/>
  <c r="AC132" i="65"/>
  <c r="AD132" i="65"/>
  <c r="AE132" i="65"/>
  <c r="AF132" i="65"/>
  <c r="AG132" i="65"/>
  <c r="AH132" i="65"/>
  <c r="AI132" i="65"/>
  <c r="AJ132" i="65"/>
  <c r="AK132" i="65"/>
  <c r="AL132" i="65"/>
  <c r="AM132" i="65"/>
  <c r="AN132" i="65"/>
  <c r="AO132" i="65"/>
  <c r="AP132" i="65"/>
  <c r="AQ132" i="65"/>
  <c r="AR132" i="65"/>
  <c r="AS132" i="65"/>
  <c r="AT132" i="65"/>
  <c r="AU132" i="65"/>
  <c r="AV132" i="65"/>
  <c r="AW132" i="65"/>
  <c r="AX132" i="65"/>
  <c r="AY132" i="65"/>
  <c r="AZ132" i="65"/>
  <c r="BA132" i="65"/>
  <c r="BB132" i="65"/>
  <c r="BC132" i="65"/>
  <c r="BD132" i="65"/>
  <c r="BE132" i="65"/>
  <c r="BF132" i="65"/>
  <c r="AC133" i="65"/>
  <c r="AD133" i="65"/>
  <c r="AE133" i="65"/>
  <c r="AF133" i="65"/>
  <c r="AG133" i="65"/>
  <c r="AH133" i="65"/>
  <c r="AI133" i="65"/>
  <c r="AJ133" i="65"/>
  <c r="AK133" i="65"/>
  <c r="AL133" i="65"/>
  <c r="AM133" i="65"/>
  <c r="AN133" i="65"/>
  <c r="AO133" i="65"/>
  <c r="AP133" i="65"/>
  <c r="AQ133" i="65"/>
  <c r="AR133" i="65"/>
  <c r="AS133" i="65"/>
  <c r="AT133" i="65"/>
  <c r="AU133" i="65"/>
  <c r="AV133" i="65"/>
  <c r="AW133" i="65"/>
  <c r="AX133" i="65"/>
  <c r="AY133" i="65"/>
  <c r="AZ133" i="65"/>
  <c r="BA133" i="65"/>
  <c r="BB133" i="65"/>
  <c r="BC133" i="65"/>
  <c r="BD133" i="65"/>
  <c r="BE133" i="65"/>
  <c r="BF133" i="65"/>
  <c r="AD125" i="65"/>
  <c r="AE125" i="65"/>
  <c r="AF125" i="65"/>
  <c r="AG125" i="65"/>
  <c r="AH125" i="65"/>
  <c r="AI125" i="65"/>
  <c r="AJ125" i="65"/>
  <c r="AK125" i="65"/>
  <c r="AL125" i="65"/>
  <c r="AM125" i="65"/>
  <c r="AN125" i="65"/>
  <c r="AO125" i="65"/>
  <c r="AP125" i="65"/>
  <c r="AQ125" i="65"/>
  <c r="AR125" i="65"/>
  <c r="AS125" i="65"/>
  <c r="AT125" i="65"/>
  <c r="AU125" i="65"/>
  <c r="AV125" i="65"/>
  <c r="AW125" i="65"/>
  <c r="AX125" i="65"/>
  <c r="AY125" i="65"/>
  <c r="AZ125" i="65"/>
  <c r="BA125" i="65"/>
  <c r="BB125" i="65"/>
  <c r="BC125" i="65"/>
  <c r="BD125" i="65"/>
  <c r="BE125" i="65"/>
  <c r="BF125" i="65"/>
  <c r="AC125" i="65"/>
  <c r="AC119" i="65"/>
  <c r="AD119" i="65"/>
  <c r="AE119" i="65"/>
  <c r="AF119" i="65"/>
  <c r="AG119" i="65"/>
  <c r="AH119" i="65"/>
  <c r="AI119" i="65"/>
  <c r="AJ119" i="65"/>
  <c r="AK119" i="65"/>
  <c r="AL119" i="65"/>
  <c r="AM119" i="65"/>
  <c r="AN119" i="65"/>
  <c r="AO119" i="65"/>
  <c r="AP119" i="65"/>
  <c r="AQ119" i="65"/>
  <c r="AR119" i="65"/>
  <c r="AS119" i="65"/>
  <c r="AT119" i="65"/>
  <c r="AU119" i="65"/>
  <c r="AV119" i="65"/>
  <c r="AW119" i="65"/>
  <c r="AX119" i="65"/>
  <c r="AY119" i="65"/>
  <c r="AZ119" i="65"/>
  <c r="BA119" i="65"/>
  <c r="BB119" i="65"/>
  <c r="BC119" i="65"/>
  <c r="BD119" i="65"/>
  <c r="BE119" i="65"/>
  <c r="BF119" i="65"/>
  <c r="AC120" i="65"/>
  <c r="AD120" i="65"/>
  <c r="AE120" i="65"/>
  <c r="AF120" i="65"/>
  <c r="AG120" i="65"/>
  <c r="AH120" i="65"/>
  <c r="AI120" i="65"/>
  <c r="AJ120" i="65"/>
  <c r="AK120" i="65"/>
  <c r="AL120" i="65"/>
  <c r="AM120" i="65"/>
  <c r="AN120" i="65"/>
  <c r="AO120" i="65"/>
  <c r="AP120" i="65"/>
  <c r="AQ120" i="65"/>
  <c r="AR120" i="65"/>
  <c r="AS120" i="65"/>
  <c r="AT120" i="65"/>
  <c r="AU120" i="65"/>
  <c r="AV120" i="65"/>
  <c r="AW120" i="65"/>
  <c r="AX120" i="65"/>
  <c r="AY120" i="65"/>
  <c r="AZ120" i="65"/>
  <c r="BA120" i="65"/>
  <c r="BB120" i="65"/>
  <c r="BC120" i="65"/>
  <c r="BD120" i="65"/>
  <c r="BE120" i="65"/>
  <c r="BF120" i="65"/>
  <c r="BB118" i="65"/>
  <c r="BC118" i="65"/>
  <c r="BD118" i="65"/>
  <c r="BE118" i="65"/>
  <c r="BF118" i="65"/>
  <c r="AX118" i="65"/>
  <c r="AY118" i="65"/>
  <c r="AZ118" i="65"/>
  <c r="BA118" i="65"/>
  <c r="AQ118" i="65"/>
  <c r="AR118" i="65"/>
  <c r="AS118" i="65"/>
  <c r="AT118" i="65"/>
  <c r="AU118" i="65"/>
  <c r="AV118" i="65"/>
  <c r="AW118" i="65"/>
  <c r="AD118" i="65"/>
  <c r="AE118" i="65"/>
  <c r="AF118" i="65"/>
  <c r="AG118" i="65"/>
  <c r="AH118" i="65"/>
  <c r="AI118" i="65"/>
  <c r="AJ118" i="65"/>
  <c r="AK118" i="65"/>
  <c r="AL118" i="65"/>
  <c r="AM118" i="65"/>
  <c r="AN118" i="65"/>
  <c r="AO118" i="65"/>
  <c r="AP118" i="65"/>
  <c r="AC118" i="65"/>
  <c r="B96" i="65" l="1"/>
  <c r="B97" i="65"/>
  <c r="B98" i="65"/>
  <c r="B99" i="65"/>
  <c r="B100" i="65"/>
  <c r="B101" i="65"/>
  <c r="B102" i="65"/>
  <c r="B103" i="65"/>
  <c r="B95" i="65"/>
  <c r="B93" i="65"/>
  <c r="B94" i="65"/>
  <c r="B92" i="65"/>
  <c r="C89" i="65"/>
  <c r="C88" i="65"/>
  <c r="D90" i="55"/>
  <c r="F84" i="65"/>
  <c r="G84" i="65" s="1"/>
  <c r="F83" i="65"/>
  <c r="G83" i="65" s="1"/>
  <c r="F82" i="65"/>
  <c r="G82" i="65" s="1"/>
  <c r="F81" i="65"/>
  <c r="F80" i="65"/>
  <c r="C84" i="65"/>
  <c r="AE81" i="65" s="1"/>
  <c r="C82" i="65"/>
  <c r="C81" i="65"/>
  <c r="C80" i="65"/>
  <c r="E89" i="65" l="1"/>
  <c r="AE27" i="60" s="1"/>
  <c r="E88" i="65"/>
  <c r="AE25" i="60" s="1"/>
  <c r="H84" i="65"/>
  <c r="AE83" i="65"/>
  <c r="O81" i="65"/>
  <c r="H82" i="65"/>
  <c r="Z81" i="65"/>
  <c r="Z83" i="65" s="1"/>
  <c r="G81" i="65"/>
  <c r="T81" i="65"/>
  <c r="G80" i="65"/>
  <c r="H80" i="65"/>
  <c r="B104" i="65"/>
  <c r="E90" i="65" s="1"/>
  <c r="AE30" i="60" s="1"/>
  <c r="H81" i="65"/>
  <c r="Q130" i="55"/>
  <c r="G85" i="65" l="1"/>
  <c r="F85" i="65" s="1"/>
  <c r="H86" i="65" s="1"/>
  <c r="V21" i="60" s="1"/>
  <c r="AB11" i="65" l="1"/>
  <c r="AD12" i="65" l="1"/>
  <c r="AD13" i="65"/>
  <c r="AD14" i="65"/>
  <c r="AD15" i="65"/>
  <c r="AD16" i="65"/>
  <c r="AD17" i="65"/>
  <c r="AD18" i="65"/>
  <c r="AD19" i="65"/>
  <c r="AD20" i="65"/>
  <c r="AD21" i="65"/>
  <c r="AD22" i="65"/>
  <c r="AD23" i="65"/>
  <c r="AD24" i="65"/>
  <c r="AD25" i="65"/>
  <c r="AD26" i="65"/>
  <c r="AD27" i="65"/>
  <c r="AD28" i="65"/>
  <c r="AD29" i="65"/>
  <c r="AD30" i="65"/>
  <c r="AD31" i="65"/>
  <c r="AD32" i="65"/>
  <c r="AD33" i="65"/>
  <c r="AD34" i="65"/>
  <c r="AD35" i="65"/>
  <c r="AD36" i="65"/>
  <c r="AD37" i="65"/>
  <c r="AD38" i="65"/>
  <c r="AD39" i="65"/>
  <c r="AD40" i="65"/>
  <c r="AD11" i="65"/>
  <c r="AB12" i="65"/>
  <c r="AB13" i="65"/>
  <c r="AB14" i="65"/>
  <c r="AB15" i="65"/>
  <c r="AB16" i="65"/>
  <c r="AB17" i="65"/>
  <c r="AB18" i="65"/>
  <c r="AB19" i="65"/>
  <c r="AB20" i="65"/>
  <c r="AB21" i="65"/>
  <c r="AB22" i="65"/>
  <c r="AB23" i="65"/>
  <c r="AB24" i="65"/>
  <c r="AB25" i="65"/>
  <c r="AB26" i="65"/>
  <c r="AB27" i="65"/>
  <c r="AB28" i="65"/>
  <c r="AB29" i="65"/>
  <c r="AB30" i="65"/>
  <c r="AB31" i="65"/>
  <c r="AB32" i="65"/>
  <c r="AB33" i="65"/>
  <c r="AB34" i="65"/>
  <c r="AB35" i="65"/>
  <c r="AB36" i="65"/>
  <c r="AB37" i="65"/>
  <c r="AB38" i="65"/>
  <c r="AB39" i="65"/>
  <c r="AB40" i="65"/>
  <c r="AJ39" i="65" l="1"/>
  <c r="AJ32" i="65"/>
  <c r="AJ33" i="65"/>
  <c r="AJ24" i="65"/>
  <c r="AJ35" i="65"/>
  <c r="AJ26" i="65"/>
  <c r="AJ20" i="65"/>
  <c r="AJ28" i="65"/>
  <c r="AJ36" i="65"/>
  <c r="AJ21" i="65"/>
  <c r="AJ29" i="65"/>
  <c r="AJ37" i="65"/>
  <c r="AJ16" i="65"/>
  <c r="AJ25" i="65"/>
  <c r="AJ18" i="65"/>
  <c r="AJ19" i="65"/>
  <c r="AJ22" i="65"/>
  <c r="AJ30" i="65"/>
  <c r="AJ38" i="65"/>
  <c r="AJ40" i="65"/>
  <c r="AJ17" i="65"/>
  <c r="AJ34" i="65"/>
  <c r="AJ27" i="65"/>
  <c r="AJ23" i="65"/>
  <c r="AJ31" i="65"/>
  <c r="AG36" i="65"/>
  <c r="AG29" i="65"/>
  <c r="AG22" i="65"/>
  <c r="AG30" i="65"/>
  <c r="AG38" i="65"/>
  <c r="AG21" i="65"/>
  <c r="AG23" i="65"/>
  <c r="AG31" i="65"/>
  <c r="AG39" i="65"/>
  <c r="AG24" i="65"/>
  <c r="AG32" i="65"/>
  <c r="AG40" i="65"/>
  <c r="AG37" i="65"/>
  <c r="AG25" i="65"/>
  <c r="AG33" i="65"/>
  <c r="AG27" i="65"/>
  <c r="AG34" i="65"/>
  <c r="AG26" i="65"/>
  <c r="AG35" i="65"/>
  <c r="AG28" i="65"/>
  <c r="F59" i="65"/>
  <c r="AA11" i="65" l="1"/>
  <c r="J31" i="65"/>
  <c r="J32" i="65"/>
  <c r="J33" i="65"/>
  <c r="J34" i="65"/>
  <c r="J35" i="65"/>
  <c r="J36" i="65"/>
  <c r="J37" i="65"/>
  <c r="J38" i="65"/>
  <c r="J39" i="65"/>
  <c r="J40" i="65"/>
  <c r="I31" i="65"/>
  <c r="I32" i="65"/>
  <c r="I33" i="65"/>
  <c r="I34" i="65"/>
  <c r="I35" i="65"/>
  <c r="I36" i="65"/>
  <c r="I37" i="65"/>
  <c r="I38" i="65"/>
  <c r="I39" i="65"/>
  <c r="I40" i="65"/>
  <c r="F31" i="65"/>
  <c r="F32" i="65"/>
  <c r="F33" i="65"/>
  <c r="F34" i="65"/>
  <c r="F35" i="65"/>
  <c r="F36" i="65"/>
  <c r="F37" i="65"/>
  <c r="F38" i="65"/>
  <c r="F39" i="65"/>
  <c r="F40" i="65"/>
  <c r="E31" i="65"/>
  <c r="L31" i="65" s="1"/>
  <c r="BT38" i="55" s="1"/>
  <c r="E32" i="65"/>
  <c r="L32" i="65" s="1"/>
  <c r="BT39" i="55" s="1"/>
  <c r="E33" i="65"/>
  <c r="L33" i="65" s="1"/>
  <c r="BT40" i="55" s="1"/>
  <c r="E34" i="65"/>
  <c r="L34" i="65" s="1"/>
  <c r="BT41" i="55" s="1"/>
  <c r="E35" i="65"/>
  <c r="L35" i="65" s="1"/>
  <c r="BT42" i="55" s="1"/>
  <c r="E36" i="65"/>
  <c r="L36" i="65" s="1"/>
  <c r="BT43" i="55" s="1"/>
  <c r="E37" i="65"/>
  <c r="L37" i="65" s="1"/>
  <c r="BT44" i="55" s="1"/>
  <c r="E38" i="65"/>
  <c r="L38" i="65" s="1"/>
  <c r="BT45" i="55" s="1"/>
  <c r="E39" i="65"/>
  <c r="L39" i="65" s="1"/>
  <c r="BT46" i="55" s="1"/>
  <c r="E40" i="65"/>
  <c r="L40" i="65" s="1"/>
  <c r="BT47" i="55" s="1"/>
  <c r="D31" i="65"/>
  <c r="D32" i="65"/>
  <c r="D33" i="65"/>
  <c r="D34" i="65"/>
  <c r="D35" i="65"/>
  <c r="D36" i="65"/>
  <c r="D37" i="65"/>
  <c r="D38" i="65"/>
  <c r="D39" i="65"/>
  <c r="D40" i="65"/>
  <c r="C31" i="65"/>
  <c r="K31" i="65" s="1"/>
  <c r="BR38" i="55" s="1"/>
  <c r="C32" i="65"/>
  <c r="K32" i="65" s="1"/>
  <c r="BR39" i="55" s="1"/>
  <c r="C33" i="65"/>
  <c r="K33" i="65" s="1"/>
  <c r="BR40" i="55" s="1"/>
  <c r="C34" i="65"/>
  <c r="K34" i="65" s="1"/>
  <c r="BR41" i="55" s="1"/>
  <c r="C35" i="65"/>
  <c r="K35" i="65" s="1"/>
  <c r="BR42" i="55" s="1"/>
  <c r="C36" i="65"/>
  <c r="K36" i="65" s="1"/>
  <c r="BR43" i="55" s="1"/>
  <c r="C37" i="65"/>
  <c r="K37" i="65" s="1"/>
  <c r="BR44" i="55" s="1"/>
  <c r="C38" i="65"/>
  <c r="K38" i="65" s="1"/>
  <c r="BR45" i="55" s="1"/>
  <c r="C39" i="65"/>
  <c r="K39" i="65" s="1"/>
  <c r="BR46" i="55" s="1"/>
  <c r="C40" i="65"/>
  <c r="K40" i="65" s="1"/>
  <c r="BR47" i="55" s="1"/>
  <c r="AG20" i="65" l="1"/>
  <c r="AG19" i="65"/>
  <c r="N33" i="65"/>
  <c r="BX40" i="55" s="1"/>
  <c r="M40" i="65"/>
  <c r="M32" i="65"/>
  <c r="N34" i="65"/>
  <c r="BX41" i="55" s="1"/>
  <c r="M39" i="65"/>
  <c r="BV46" i="55" s="1"/>
  <c r="M31" i="65"/>
  <c r="BV38" i="55" s="1"/>
  <c r="M38" i="65"/>
  <c r="BV45" i="55" s="1"/>
  <c r="N40" i="65"/>
  <c r="BX47" i="55" s="1"/>
  <c r="N32" i="65"/>
  <c r="BX39" i="55" s="1"/>
  <c r="M36" i="65"/>
  <c r="BV43" i="55" s="1"/>
  <c r="M35" i="65"/>
  <c r="BV42" i="55" s="1"/>
  <c r="M37" i="65"/>
  <c r="BV44" i="55" s="1"/>
  <c r="N39" i="65"/>
  <c r="BX46" i="55" s="1"/>
  <c r="N31" i="65"/>
  <c r="BX38" i="55" s="1"/>
  <c r="N37" i="65"/>
  <c r="BX44" i="55" s="1"/>
  <c r="M34" i="65"/>
  <c r="BV41" i="55" s="1"/>
  <c r="N36" i="65"/>
  <c r="N38" i="65"/>
  <c r="BX45" i="55" s="1"/>
  <c r="M33" i="65"/>
  <c r="N35" i="65"/>
  <c r="AC40" i="65" l="1"/>
  <c r="P40" i="65" s="1"/>
  <c r="CB47" i="55" s="1"/>
  <c r="BJ47" i="55"/>
  <c r="AC39" i="65"/>
  <c r="P39" i="65" s="1"/>
  <c r="CB46" i="55" s="1"/>
  <c r="BJ46" i="55"/>
  <c r="AC38" i="65"/>
  <c r="AC37" i="65"/>
  <c r="AC36" i="65"/>
  <c r="P36" i="65" s="1"/>
  <c r="CB43" i="55" s="1"/>
  <c r="BJ43" i="55"/>
  <c r="AC35" i="65"/>
  <c r="P35" i="65" s="1"/>
  <c r="CB42" i="55" s="1"/>
  <c r="BJ42" i="55"/>
  <c r="AC34" i="65"/>
  <c r="AC33" i="65"/>
  <c r="AC32" i="65"/>
  <c r="AC31" i="65"/>
  <c r="AC30" i="65"/>
  <c r="AC29" i="65"/>
  <c r="P29" i="65" s="1"/>
  <c r="CB36" i="55" s="1"/>
  <c r="BJ36" i="55"/>
  <c r="AC28" i="65"/>
  <c r="P28" i="65" s="1"/>
  <c r="CB35" i="55" s="1"/>
  <c r="BJ35" i="55"/>
  <c r="AC27" i="65"/>
  <c r="AA40" i="65"/>
  <c r="O40" i="65" s="1"/>
  <c r="BZ47" i="55" s="1"/>
  <c r="BH47" i="55"/>
  <c r="AA39" i="65"/>
  <c r="O39" i="65" s="1"/>
  <c r="BZ46" i="55" s="1"/>
  <c r="BH46" i="55"/>
  <c r="AA38" i="65"/>
  <c r="O38" i="65" s="1"/>
  <c r="BZ45" i="55" s="1"/>
  <c r="BH45" i="55"/>
  <c r="AA37" i="65"/>
  <c r="O37" i="65" s="1"/>
  <c r="BZ44" i="55" s="1"/>
  <c r="BH44" i="55"/>
  <c r="AA36" i="65"/>
  <c r="O36" i="65" s="1"/>
  <c r="BZ43" i="55" s="1"/>
  <c r="BH43" i="55"/>
  <c r="AA35" i="65"/>
  <c r="O35" i="65" s="1"/>
  <c r="BZ42" i="55" s="1"/>
  <c r="BH42" i="55"/>
  <c r="AA34" i="65"/>
  <c r="BH41" i="55"/>
  <c r="AA33" i="65"/>
  <c r="BH40" i="55"/>
  <c r="AA32" i="65"/>
  <c r="O32" i="65" s="1"/>
  <c r="BZ39" i="55" s="1"/>
  <c r="BH39" i="55"/>
  <c r="AA31" i="65"/>
  <c r="O31" i="65" s="1"/>
  <c r="BZ38" i="55" s="1"/>
  <c r="BH38" i="55"/>
  <c r="AA30" i="65"/>
  <c r="AA29" i="65"/>
  <c r="AA28" i="65"/>
  <c r="AA27" i="65"/>
  <c r="BX42" i="55"/>
  <c r="BV39" i="55"/>
  <c r="BV40" i="55"/>
  <c r="BV47" i="55"/>
  <c r="BX43" i="55"/>
  <c r="S39" i="65" l="1"/>
  <c r="CF46" i="55" s="1"/>
  <c r="R38" i="65"/>
  <c r="CD45" i="55" s="1"/>
  <c r="R39" i="65"/>
  <c r="CD46" i="55" s="1"/>
  <c r="R35" i="65"/>
  <c r="CD42" i="55" s="1"/>
  <c r="R31" i="65"/>
  <c r="CD38" i="55" s="1"/>
  <c r="R40" i="65"/>
  <c r="CD47" i="55" s="1"/>
  <c r="S35" i="65"/>
  <c r="CF42" i="55" s="1"/>
  <c r="S40" i="65"/>
  <c r="CF47" i="55" s="1"/>
  <c r="R37" i="65"/>
  <c r="CD44" i="55" s="1"/>
  <c r="R32" i="65"/>
  <c r="CD39" i="55" s="1"/>
  <c r="R36" i="65"/>
  <c r="CD43" i="55" s="1"/>
  <c r="S36" i="65"/>
  <c r="CF43" i="55" s="1"/>
  <c r="AC12" i="65"/>
  <c r="AC13" i="65"/>
  <c r="AC14" i="65"/>
  <c r="AC15" i="65"/>
  <c r="AC16" i="65"/>
  <c r="AC17" i="65"/>
  <c r="AC18" i="65"/>
  <c r="AC19" i="65"/>
  <c r="AC22" i="65"/>
  <c r="AC23" i="65"/>
  <c r="AC24" i="65"/>
  <c r="AA12" i="65"/>
  <c r="AA14" i="65"/>
  <c r="AA15" i="65"/>
  <c r="AA16" i="65"/>
  <c r="AA17" i="65"/>
  <c r="AA19" i="65"/>
  <c r="AA20" i="65"/>
  <c r="AA21" i="65"/>
  <c r="AA23" i="65"/>
  <c r="AA24" i="65"/>
  <c r="AA25" i="65"/>
  <c r="AA26" i="65"/>
  <c r="AC11" i="65"/>
  <c r="AC21" i="65" l="1"/>
  <c r="P21" i="65" s="1"/>
  <c r="CB28" i="55" s="1"/>
  <c r="BJ28" i="55"/>
  <c r="AA22" i="65"/>
  <c r="O22" i="65" s="1"/>
  <c r="BZ29" i="55" s="1"/>
  <c r="BH29" i="55"/>
  <c r="AC20" i="65"/>
  <c r="AC26" i="65"/>
  <c r="AC25" i="65"/>
  <c r="AA18" i="65" l="1"/>
  <c r="C3" i="65" l="1"/>
  <c r="C4" i="65"/>
  <c r="C54" i="65"/>
  <c r="C53" i="65"/>
  <c r="F12" i="65"/>
  <c r="F13" i="65"/>
  <c r="F14" i="65"/>
  <c r="F15" i="65"/>
  <c r="F16" i="65"/>
  <c r="F17" i="65"/>
  <c r="F18" i="65"/>
  <c r="F19" i="65"/>
  <c r="F20" i="65"/>
  <c r="F21" i="65"/>
  <c r="F22" i="65"/>
  <c r="F23" i="65"/>
  <c r="F24" i="65"/>
  <c r="F25" i="65"/>
  <c r="F26" i="65"/>
  <c r="F27" i="65"/>
  <c r="F28" i="65"/>
  <c r="F29" i="65"/>
  <c r="F30" i="65"/>
  <c r="L19" i="64"/>
  <c r="L20" i="64"/>
  <c r="L21" i="64"/>
  <c r="L22" i="64"/>
  <c r="L18" i="64"/>
  <c r="C66" i="65"/>
  <c r="C67" i="65"/>
  <c r="C68" i="65"/>
  <c r="C69" i="65"/>
  <c r="C70" i="65"/>
  <c r="C65" i="65"/>
  <c r="C62" i="65"/>
  <c r="C61" i="65"/>
  <c r="C60" i="65"/>
  <c r="C56" i="65"/>
  <c r="C57" i="65"/>
  <c r="C55" i="65"/>
  <c r="D57" i="65"/>
  <c r="D56" i="65"/>
  <c r="D55" i="65"/>
  <c r="D54" i="65"/>
  <c r="Q123" i="55"/>
  <c r="D67" i="65"/>
  <c r="D68" i="65"/>
  <c r="D69" i="65"/>
  <c r="D70" i="65"/>
  <c r="D66" i="65"/>
  <c r="D65" i="65"/>
  <c r="D62" i="65"/>
  <c r="D61" i="65"/>
  <c r="D60" i="65"/>
  <c r="D53" i="65"/>
  <c r="Q143" i="55"/>
  <c r="D11" i="65"/>
  <c r="D12" i="65"/>
  <c r="D13" i="65"/>
  <c r="D14" i="65"/>
  <c r="D15" i="65"/>
  <c r="D16" i="65"/>
  <c r="D17" i="65"/>
  <c r="D18" i="65"/>
  <c r="D19" i="65"/>
  <c r="D20" i="65"/>
  <c r="D21" i="65"/>
  <c r="D22" i="65"/>
  <c r="D23" i="65"/>
  <c r="D24" i="65"/>
  <c r="D25" i="65"/>
  <c r="D26" i="65"/>
  <c r="D27" i="65"/>
  <c r="D28" i="65"/>
  <c r="D29" i="65"/>
  <c r="D30" i="65"/>
  <c r="J12" i="65"/>
  <c r="J13" i="65"/>
  <c r="J14" i="65"/>
  <c r="N14" i="65" s="1"/>
  <c r="BX21" i="55" s="1"/>
  <c r="J15" i="65"/>
  <c r="J16" i="65"/>
  <c r="J17" i="65"/>
  <c r="J18" i="65"/>
  <c r="J19" i="65"/>
  <c r="J20" i="65"/>
  <c r="J21" i="65"/>
  <c r="J22" i="65"/>
  <c r="J23" i="65"/>
  <c r="J24" i="65"/>
  <c r="J25" i="65"/>
  <c r="J26" i="65"/>
  <c r="J27" i="65"/>
  <c r="J28" i="65"/>
  <c r="J29" i="65"/>
  <c r="J30" i="65"/>
  <c r="N30" i="65" s="1"/>
  <c r="BX37" i="55" s="1"/>
  <c r="J11" i="65"/>
  <c r="I12" i="65"/>
  <c r="I13" i="65"/>
  <c r="I14" i="65"/>
  <c r="I15" i="65"/>
  <c r="I16" i="65"/>
  <c r="I17" i="65"/>
  <c r="I18" i="65"/>
  <c r="I19" i="65"/>
  <c r="I20" i="65"/>
  <c r="I21" i="65"/>
  <c r="I22" i="65"/>
  <c r="I23" i="65"/>
  <c r="I24" i="65"/>
  <c r="I25" i="65"/>
  <c r="I26" i="65"/>
  <c r="I27" i="65"/>
  <c r="I28" i="65"/>
  <c r="I29" i="65"/>
  <c r="I30" i="65"/>
  <c r="I11" i="65"/>
  <c r="F11" i="65"/>
  <c r="E12" i="65"/>
  <c r="L12" i="65" s="1"/>
  <c r="E13" i="65"/>
  <c r="L13" i="65" s="1"/>
  <c r="E14" i="65"/>
  <c r="E15" i="65"/>
  <c r="L15" i="65" s="1"/>
  <c r="E16" i="65"/>
  <c r="L16" i="65" s="1"/>
  <c r="E17" i="65"/>
  <c r="L17" i="65" s="1"/>
  <c r="E18" i="65"/>
  <c r="L18" i="65" s="1"/>
  <c r="E19" i="65"/>
  <c r="L19" i="65" s="1"/>
  <c r="E20" i="65"/>
  <c r="E21" i="65"/>
  <c r="L21" i="65" s="1"/>
  <c r="E22" i="65"/>
  <c r="L22" i="65" s="1"/>
  <c r="E23" i="65"/>
  <c r="L23" i="65" s="1"/>
  <c r="E24" i="65"/>
  <c r="L24" i="65" s="1"/>
  <c r="E25" i="65"/>
  <c r="L25" i="65" s="1"/>
  <c r="E26" i="65"/>
  <c r="L26" i="65" s="1"/>
  <c r="E27" i="65"/>
  <c r="E28" i="65"/>
  <c r="L28" i="65" s="1"/>
  <c r="E29" i="65"/>
  <c r="E30" i="65"/>
  <c r="L30" i="65" s="1"/>
  <c r="E11" i="65"/>
  <c r="C12" i="65"/>
  <c r="K12" i="65" s="1"/>
  <c r="C13" i="65"/>
  <c r="K13" i="65" s="1"/>
  <c r="C14" i="65"/>
  <c r="C15" i="65"/>
  <c r="K15" i="65" s="1"/>
  <c r="C16" i="65"/>
  <c r="K16" i="65" s="1"/>
  <c r="C17" i="65"/>
  <c r="C18" i="65"/>
  <c r="K18" i="65" s="1"/>
  <c r="C19" i="65"/>
  <c r="C20" i="65"/>
  <c r="K20" i="65" s="1"/>
  <c r="C21" i="65"/>
  <c r="K21" i="65" s="1"/>
  <c r="C22" i="65"/>
  <c r="K22" i="65" s="1"/>
  <c r="C23" i="65"/>
  <c r="K23" i="65" s="1"/>
  <c r="C24" i="65"/>
  <c r="C25" i="65"/>
  <c r="K25" i="65" s="1"/>
  <c r="C26" i="65"/>
  <c r="C27" i="65"/>
  <c r="C28" i="65"/>
  <c r="C29" i="65"/>
  <c r="C30" i="65"/>
  <c r="C11" i="65"/>
  <c r="K11" i="65" s="1"/>
  <c r="U28" i="65" l="1"/>
  <c r="V29" i="65"/>
  <c r="U20" i="65"/>
  <c r="U12" i="65"/>
  <c r="V21" i="65"/>
  <c r="V13" i="65"/>
  <c r="AG16" i="65"/>
  <c r="AI16" i="65" s="1"/>
  <c r="U27" i="65"/>
  <c r="U19" i="65"/>
  <c r="U11" i="65"/>
  <c r="AI23" i="65"/>
  <c r="AI34" i="65"/>
  <c r="AI31" i="65"/>
  <c r="AI33" i="65"/>
  <c r="AI25" i="65"/>
  <c r="AI26" i="65"/>
  <c r="AI39" i="65"/>
  <c r="AI37" i="65"/>
  <c r="AI21" i="65"/>
  <c r="AI35" i="65"/>
  <c r="AI24" i="65"/>
  <c r="AI36" i="65"/>
  <c r="AI30" i="65"/>
  <c r="AI27" i="65"/>
  <c r="AI32" i="65"/>
  <c r="AI29" i="65"/>
  <c r="AI28" i="65"/>
  <c r="AI22" i="65"/>
  <c r="AI40" i="65"/>
  <c r="AI38" i="65"/>
  <c r="U40" i="65"/>
  <c r="U39" i="65"/>
  <c r="U31" i="65"/>
  <c r="U35" i="65"/>
  <c r="U38" i="65"/>
  <c r="U33" i="65"/>
  <c r="U32" i="65"/>
  <c r="U37" i="65"/>
  <c r="U36" i="65"/>
  <c r="U34" i="65"/>
  <c r="AI20" i="65"/>
  <c r="AI19" i="65"/>
  <c r="V28" i="65"/>
  <c r="V20" i="65"/>
  <c r="V12" i="65"/>
  <c r="U26" i="65"/>
  <c r="U18" i="65"/>
  <c r="V27" i="65"/>
  <c r="AJ14" i="65"/>
  <c r="AL14" i="65" s="1"/>
  <c r="V19" i="65"/>
  <c r="U25" i="65"/>
  <c r="U17" i="65"/>
  <c r="V26" i="65"/>
  <c r="V18" i="65"/>
  <c r="U24" i="65"/>
  <c r="U16" i="65"/>
  <c r="V25" i="65"/>
  <c r="V17" i="65"/>
  <c r="V11" i="65"/>
  <c r="AL28" i="65"/>
  <c r="AL34" i="65"/>
  <c r="AL16" i="65"/>
  <c r="AL33" i="65"/>
  <c r="AL25" i="65"/>
  <c r="AL35" i="65"/>
  <c r="AL31" i="65"/>
  <c r="AL17" i="65"/>
  <c r="AL26" i="65"/>
  <c r="AL22" i="65"/>
  <c r="AL27" i="65"/>
  <c r="AL23" i="65"/>
  <c r="AL30" i="65"/>
  <c r="AL36" i="65"/>
  <c r="AL24" i="65"/>
  <c r="AL18" i="65"/>
  <c r="AL38" i="65"/>
  <c r="AL21" i="65"/>
  <c r="AL39" i="65"/>
  <c r="AL37" i="65"/>
  <c r="AL19" i="65"/>
  <c r="AL20" i="65"/>
  <c r="AL40" i="65"/>
  <c r="AL29" i="65"/>
  <c r="AL32" i="65"/>
  <c r="V32" i="65"/>
  <c r="V36" i="65"/>
  <c r="V34" i="65"/>
  <c r="V35" i="65"/>
  <c r="V33" i="65"/>
  <c r="V31" i="65"/>
  <c r="V39" i="65"/>
  <c r="V37" i="65"/>
  <c r="V40" i="65"/>
  <c r="V38" i="65"/>
  <c r="U23" i="65"/>
  <c r="U15" i="65"/>
  <c r="V24" i="65"/>
  <c r="V16" i="65"/>
  <c r="AG18" i="65"/>
  <c r="AH18" i="65" s="1"/>
  <c r="O30" i="65" s="1"/>
  <c r="BZ37" i="55" s="1"/>
  <c r="U30" i="65"/>
  <c r="U22" i="65"/>
  <c r="U14" i="65"/>
  <c r="V23" i="65"/>
  <c r="V15" i="65"/>
  <c r="AG17" i="65"/>
  <c r="AI17" i="65" s="1"/>
  <c r="U29" i="65"/>
  <c r="U21" i="65"/>
  <c r="U13" i="65"/>
  <c r="V30" i="65"/>
  <c r="V22" i="65"/>
  <c r="V14" i="65"/>
  <c r="N29" i="65"/>
  <c r="BX36" i="55" s="1"/>
  <c r="BH36" i="55"/>
  <c r="AJ13" i="65"/>
  <c r="BH34" i="55"/>
  <c r="BH35" i="55"/>
  <c r="AK25" i="65"/>
  <c r="AK37" i="65"/>
  <c r="AK36" i="65"/>
  <c r="AH35" i="65"/>
  <c r="AH30" i="65"/>
  <c r="AH39" i="65"/>
  <c r="AK38" i="65"/>
  <c r="AK26" i="65"/>
  <c r="AK24" i="65"/>
  <c r="AK39" i="65"/>
  <c r="AH34" i="65"/>
  <c r="AH24" i="65"/>
  <c r="AK28" i="65"/>
  <c r="AK19" i="65"/>
  <c r="AK29" i="65"/>
  <c r="AH25" i="65"/>
  <c r="AH38" i="65"/>
  <c r="AH31" i="65"/>
  <c r="AK27" i="65"/>
  <c r="AK17" i="65"/>
  <c r="AK33" i="65"/>
  <c r="AH37" i="65"/>
  <c r="AH28" i="65"/>
  <c r="AH22" i="65"/>
  <c r="AK18" i="65"/>
  <c r="AK16" i="65"/>
  <c r="AK21" i="65"/>
  <c r="AH23" i="65"/>
  <c r="AH26" i="65"/>
  <c r="AH33" i="65"/>
  <c r="AK20" i="65"/>
  <c r="AK35" i="65"/>
  <c r="AK32" i="65"/>
  <c r="AH19" i="65"/>
  <c r="O33" i="65" s="1"/>
  <c r="AH40" i="65"/>
  <c r="AK30" i="65"/>
  <c r="AK23" i="65"/>
  <c r="AK31" i="65"/>
  <c r="AH20" i="65"/>
  <c r="O34" i="65" s="1"/>
  <c r="AH27" i="65"/>
  <c r="AH29" i="65"/>
  <c r="AK34" i="65"/>
  <c r="AK40" i="65"/>
  <c r="AK22" i="65"/>
  <c r="AH21" i="65"/>
  <c r="AH32" i="65"/>
  <c r="AH36" i="65"/>
  <c r="D90" i="65"/>
  <c r="AA30" i="60" s="1"/>
  <c r="D88" i="65"/>
  <c r="AA25" i="60" s="1"/>
  <c r="D89" i="65"/>
  <c r="AA27" i="60" s="1"/>
  <c r="AG13" i="65"/>
  <c r="AG14" i="65"/>
  <c r="AJ12" i="65"/>
  <c r="AL12" i="65" s="1"/>
  <c r="AG12" i="65"/>
  <c r="AI12" i="65" s="1"/>
  <c r="N24" i="65"/>
  <c r="BX31" i="55" s="1"/>
  <c r="N16" i="65"/>
  <c r="BX23" i="55" s="1"/>
  <c r="AG11" i="65"/>
  <c r="AI11" i="65" s="1"/>
  <c r="AJ15" i="65"/>
  <c r="AL15" i="65" s="1"/>
  <c r="AG15" i="65"/>
  <c r="AI15" i="65" s="1"/>
  <c r="AJ11" i="65"/>
  <c r="BR29" i="55"/>
  <c r="BT33" i="55"/>
  <c r="BT25" i="55"/>
  <c r="BR28" i="55"/>
  <c r="BR20" i="55"/>
  <c r="BT32" i="55"/>
  <c r="BT24" i="55"/>
  <c r="BT23" i="55"/>
  <c r="L11" i="65"/>
  <c r="BT18" i="55" s="1"/>
  <c r="J45" i="65"/>
  <c r="F42" i="65" s="1"/>
  <c r="BT30" i="55"/>
  <c r="BT22" i="55"/>
  <c r="BR19" i="55"/>
  <c r="BR25" i="55"/>
  <c r="BT37" i="55"/>
  <c r="BT29" i="55"/>
  <c r="BR32" i="55"/>
  <c r="BT28" i="55"/>
  <c r="BT20" i="55"/>
  <c r="BR27" i="55"/>
  <c r="BR23" i="55"/>
  <c r="BT35" i="55"/>
  <c r="BT19" i="55"/>
  <c r="BT31" i="55"/>
  <c r="BR30" i="55"/>
  <c r="BR22" i="55"/>
  <c r="BT26" i="55"/>
  <c r="K26" i="65"/>
  <c r="I45" i="65"/>
  <c r="N23" i="65"/>
  <c r="BX30" i="55" s="1"/>
  <c r="N28" i="65"/>
  <c r="BX35" i="55" s="1"/>
  <c r="K29" i="65"/>
  <c r="L27" i="65"/>
  <c r="N15" i="65"/>
  <c r="BX22" i="55" s="1"/>
  <c r="M23" i="65"/>
  <c r="BV30" i="55" s="1"/>
  <c r="M15" i="65"/>
  <c r="BV22" i="55" s="1"/>
  <c r="K30" i="65"/>
  <c r="N27" i="65"/>
  <c r="BX34" i="55" s="1"/>
  <c r="M28" i="65"/>
  <c r="BV35" i="55" s="1"/>
  <c r="L29" i="65"/>
  <c r="N20" i="65"/>
  <c r="BX27" i="55" s="1"/>
  <c r="M19" i="65"/>
  <c r="BV26" i="55" s="1"/>
  <c r="M11" i="65"/>
  <c r="N22" i="65"/>
  <c r="BX29" i="55" s="1"/>
  <c r="M30" i="65"/>
  <c r="BV37" i="55" s="1"/>
  <c r="M12" i="65"/>
  <c r="BV19" i="55" s="1"/>
  <c r="M20" i="65"/>
  <c r="BV27" i="55" s="1"/>
  <c r="M17" i="65"/>
  <c r="BV24" i="55" s="1"/>
  <c r="N21" i="65"/>
  <c r="BX28" i="55" s="1"/>
  <c r="N13" i="65"/>
  <c r="BX20" i="55" s="1"/>
  <c r="K28" i="65"/>
  <c r="M29" i="65"/>
  <c r="BV36" i="55" s="1"/>
  <c r="M21" i="65"/>
  <c r="BV28" i="55" s="1"/>
  <c r="N19" i="65"/>
  <c r="BX26" i="55" s="1"/>
  <c r="N18" i="65"/>
  <c r="BX25" i="55" s="1"/>
  <c r="N17" i="65"/>
  <c r="BX24" i="55" s="1"/>
  <c r="N12" i="65"/>
  <c r="BX19" i="55" s="1"/>
  <c r="Q146" i="55"/>
  <c r="M13" i="65"/>
  <c r="BV20" i="55" s="1"/>
  <c r="M25" i="65"/>
  <c r="BV32" i="55" s="1"/>
  <c r="N26" i="65"/>
  <c r="BX33" i="55" s="1"/>
  <c r="N25" i="65"/>
  <c r="BX32" i="55" s="1"/>
  <c r="M27" i="65"/>
  <c r="BV34" i="55" s="1"/>
  <c r="M26" i="65"/>
  <c r="BV33" i="55" s="1"/>
  <c r="M18" i="65"/>
  <c r="BV25" i="55" s="1"/>
  <c r="M16" i="65"/>
  <c r="BV23" i="55" s="1"/>
  <c r="M22" i="65"/>
  <c r="BV29" i="55" s="1"/>
  <c r="M14" i="65"/>
  <c r="BV21" i="55" s="1"/>
  <c r="N11" i="65"/>
  <c r="K27" i="65"/>
  <c r="L20" i="65"/>
  <c r="L14" i="65"/>
  <c r="M24" i="65"/>
  <c r="BV31" i="55" s="1"/>
  <c r="K24" i="65"/>
  <c r="K19" i="65"/>
  <c r="K17" i="65"/>
  <c r="K14" i="65"/>
  <c r="BR18" i="55"/>
  <c r="C71" i="65"/>
  <c r="C63" i="65"/>
  <c r="C58" i="65"/>
  <c r="AE47" i="65" l="1"/>
  <c r="AH17" i="65"/>
  <c r="AK14" i="65"/>
  <c r="AH16" i="65"/>
  <c r="G57" i="55"/>
  <c r="G45" i="65" s="1"/>
  <c r="M45" i="65"/>
  <c r="D42" i="65"/>
  <c r="BH37" i="55"/>
  <c r="AI18" i="65"/>
  <c r="S29" i="65"/>
  <c r="CF36" i="55" s="1"/>
  <c r="BJ27" i="55"/>
  <c r="AL11" i="65"/>
  <c r="BH33" i="55"/>
  <c r="AI14" i="65"/>
  <c r="BH26" i="55"/>
  <c r="AI13" i="65"/>
  <c r="BJ34" i="55"/>
  <c r="AL13" i="65"/>
  <c r="AK13" i="65"/>
  <c r="P27" i="65" s="1"/>
  <c r="CB34" i="55" s="1"/>
  <c r="R22" i="65"/>
  <c r="CD29" i="55" s="1"/>
  <c r="S21" i="65"/>
  <c r="CF28" i="55" s="1"/>
  <c r="BZ41" i="55"/>
  <c r="R34" i="65"/>
  <c r="CD41" i="55" s="1"/>
  <c r="BJ41" i="55"/>
  <c r="BJ45" i="55"/>
  <c r="BJ44" i="55"/>
  <c r="BJ39" i="55"/>
  <c r="BJ40" i="55"/>
  <c r="BJ37" i="55"/>
  <c r="BJ38" i="55"/>
  <c r="BJ32" i="55"/>
  <c r="BJ33" i="55"/>
  <c r="BZ40" i="55"/>
  <c r="R33" i="65"/>
  <c r="CD40" i="55" s="1"/>
  <c r="O29" i="65"/>
  <c r="BZ36" i="55" s="1"/>
  <c r="O27" i="65"/>
  <c r="BZ34" i="55" s="1"/>
  <c r="O28" i="65"/>
  <c r="BZ35" i="55" s="1"/>
  <c r="AH13" i="65"/>
  <c r="AH14" i="65"/>
  <c r="O26" i="65" s="1"/>
  <c r="BZ33" i="55" s="1"/>
  <c r="BH32" i="55"/>
  <c r="BH31" i="55"/>
  <c r="BH30" i="55"/>
  <c r="O57" i="55"/>
  <c r="H45" i="65" s="1"/>
  <c r="BJ21" i="55"/>
  <c r="BJ25" i="55"/>
  <c r="BH25" i="55"/>
  <c r="BH28" i="55"/>
  <c r="BH24" i="55"/>
  <c r="BH22" i="55"/>
  <c r="BH23" i="55"/>
  <c r="BJ19" i="55"/>
  <c r="BJ20" i="55"/>
  <c r="BJ18" i="55"/>
  <c r="BJ22" i="55"/>
  <c r="BJ23" i="55"/>
  <c r="BJ24" i="55"/>
  <c r="BJ26" i="55"/>
  <c r="AK12" i="65"/>
  <c r="P26" i="65" s="1"/>
  <c r="CB33" i="55" s="1"/>
  <c r="BJ29" i="55"/>
  <c r="BJ30" i="55"/>
  <c r="BJ31" i="55"/>
  <c r="BH27" i="55"/>
  <c r="BH21" i="55"/>
  <c r="BH19" i="55"/>
  <c r="BH18" i="55"/>
  <c r="BH20" i="55"/>
  <c r="R30" i="65"/>
  <c r="CD37" i="55" s="1"/>
  <c r="S28" i="65"/>
  <c r="CF35" i="55" s="1"/>
  <c r="AK15" i="65"/>
  <c r="AK11" i="65"/>
  <c r="P20" i="65" s="1"/>
  <c r="CB27" i="55" s="1"/>
  <c r="AH11" i="65"/>
  <c r="O13" i="65" s="1"/>
  <c r="AH12" i="65"/>
  <c r="AH15" i="65"/>
  <c r="BR24" i="55"/>
  <c r="BR34" i="55"/>
  <c r="BT34" i="55"/>
  <c r="BR26" i="55"/>
  <c r="BX18" i="55"/>
  <c r="AF47" i="65"/>
  <c r="BR35" i="55"/>
  <c r="BT36" i="55"/>
  <c r="BR36" i="55"/>
  <c r="BR31" i="55"/>
  <c r="AF46" i="65"/>
  <c r="BT21" i="55"/>
  <c r="BR37" i="55"/>
  <c r="BV18" i="55"/>
  <c r="BR21" i="55"/>
  <c r="BT27" i="55"/>
  <c r="BR33" i="55"/>
  <c r="AE46" i="65"/>
  <c r="N45" i="65"/>
  <c r="I62" i="65"/>
  <c r="H62" i="65" s="1"/>
  <c r="I63" i="65"/>
  <c r="H63" i="65" s="1"/>
  <c r="AF49" i="65" l="1"/>
  <c r="AE49" i="65"/>
  <c r="S27" i="65"/>
  <c r="CF34" i="55" s="1"/>
  <c r="R26" i="65"/>
  <c r="CD33" i="55" s="1"/>
  <c r="R27" i="65"/>
  <c r="CD34" i="55" s="1"/>
  <c r="S20" i="65"/>
  <c r="CF27" i="55" s="1"/>
  <c r="O19" i="65"/>
  <c r="P34" i="65"/>
  <c r="CB41" i="55" s="1"/>
  <c r="P38" i="65"/>
  <c r="P37" i="65"/>
  <c r="P32" i="65"/>
  <c r="S32" i="65" s="1"/>
  <c r="CF39" i="55" s="1"/>
  <c r="P33" i="65"/>
  <c r="P30" i="65"/>
  <c r="CB37" i="55" s="1"/>
  <c r="P31" i="65"/>
  <c r="R29" i="65"/>
  <c r="CD36" i="55" s="1"/>
  <c r="S26" i="65"/>
  <c r="CF33" i="55" s="1"/>
  <c r="R28" i="65"/>
  <c r="CD35" i="55" s="1"/>
  <c r="O25" i="65"/>
  <c r="BZ32" i="55" s="1"/>
  <c r="O23" i="65"/>
  <c r="BZ30" i="55" s="1"/>
  <c r="O24" i="65"/>
  <c r="BZ31" i="55" s="1"/>
  <c r="P24" i="65"/>
  <c r="S24" i="65" s="1"/>
  <c r="CF31" i="55" s="1"/>
  <c r="P25" i="65"/>
  <c r="P14" i="65"/>
  <c r="P18" i="65"/>
  <c r="O18" i="65"/>
  <c r="BZ25" i="55" s="1"/>
  <c r="O21" i="65"/>
  <c r="O15" i="65"/>
  <c r="O16" i="65"/>
  <c r="P22" i="65"/>
  <c r="CB29" i="55" s="1"/>
  <c r="P23" i="65"/>
  <c r="O11" i="65"/>
  <c r="BZ18" i="55" s="1"/>
  <c r="O12" i="65"/>
  <c r="BZ19" i="55" s="1"/>
  <c r="O20" i="65"/>
  <c r="BZ27" i="55" s="1"/>
  <c r="BZ20" i="55"/>
  <c r="O14" i="65"/>
  <c r="BZ21" i="55" s="1"/>
  <c r="P16" i="65"/>
  <c r="CB23" i="55" s="1"/>
  <c r="P12" i="65"/>
  <c r="CB19" i="55" s="1"/>
  <c r="P17" i="65"/>
  <c r="CB24" i="55" s="1"/>
  <c r="P15" i="65"/>
  <c r="CB22" i="55" s="1"/>
  <c r="P11" i="65"/>
  <c r="CB18" i="55" s="1"/>
  <c r="P13" i="65"/>
  <c r="CB20" i="55" s="1"/>
  <c r="P19" i="65"/>
  <c r="CB26" i="55" s="1"/>
  <c r="O17" i="65"/>
  <c r="BZ24" i="55" s="1"/>
  <c r="AC57" i="55"/>
  <c r="L45" i="65"/>
  <c r="K45" i="65"/>
  <c r="AM57" i="55"/>
  <c r="AE17" i="60"/>
  <c r="I61" i="65"/>
  <c r="H61" i="65" s="1"/>
  <c r="CB25" i="55" l="1"/>
  <c r="S18" i="65"/>
  <c r="CF25" i="55" s="1"/>
  <c r="S34" i="65"/>
  <c r="CF41" i="55" s="1"/>
  <c r="BZ28" i="55"/>
  <c r="R21" i="65"/>
  <c r="CD28" i="55" s="1"/>
  <c r="CB39" i="55"/>
  <c r="BZ26" i="55"/>
  <c r="R19" i="65"/>
  <c r="CD26" i="55" s="1"/>
  <c r="CB45" i="55"/>
  <c r="S38" i="65"/>
  <c r="CB44" i="55"/>
  <c r="S37" i="65"/>
  <c r="CF44" i="55" s="1"/>
  <c r="S30" i="65"/>
  <c r="CF37" i="55" s="1"/>
  <c r="CB40" i="55"/>
  <c r="S33" i="65"/>
  <c r="CF40" i="55" s="1"/>
  <c r="CB38" i="55"/>
  <c r="S31" i="65"/>
  <c r="CF38" i="55" s="1"/>
  <c r="CB32" i="55"/>
  <c r="S25" i="65"/>
  <c r="CF32" i="55" s="1"/>
  <c r="CB21" i="55"/>
  <c r="S14" i="65"/>
  <c r="CF21" i="55" s="1"/>
  <c r="BZ23" i="55"/>
  <c r="R16" i="65"/>
  <c r="CD23" i="55" s="1"/>
  <c r="BZ22" i="55"/>
  <c r="R15" i="65"/>
  <c r="CD22" i="55" s="1"/>
  <c r="R24" i="65"/>
  <c r="CD31" i="55" s="1"/>
  <c r="R25" i="65"/>
  <c r="CD32" i="55" s="1"/>
  <c r="CB31" i="55"/>
  <c r="R23" i="65"/>
  <c r="CD30" i="55" s="1"/>
  <c r="R18" i="65"/>
  <c r="CD25" i="55" s="1"/>
  <c r="R12" i="65"/>
  <c r="CD19" i="55" s="1"/>
  <c r="S22" i="65"/>
  <c r="CF29" i="55" s="1"/>
  <c r="CB30" i="55"/>
  <c r="S23" i="65"/>
  <c r="CF30" i="55" s="1"/>
  <c r="R11" i="65"/>
  <c r="R13" i="65"/>
  <c r="S15" i="65"/>
  <c r="CF22" i="55" s="1"/>
  <c r="S17" i="65"/>
  <c r="CF24" i="55" s="1"/>
  <c r="R14" i="65"/>
  <c r="CD21" i="55" s="1"/>
  <c r="R17" i="65"/>
  <c r="CD24" i="55" s="1"/>
  <c r="S16" i="65"/>
  <c r="CF23" i="55" s="1"/>
  <c r="S11" i="65"/>
  <c r="R20" i="65"/>
  <c r="CD27" i="55" s="1"/>
  <c r="S19" i="65"/>
  <c r="CF26" i="55" s="1"/>
  <c r="S13" i="65"/>
  <c r="CF20" i="55" s="1"/>
  <c r="S12" i="65"/>
  <c r="CF19" i="55" s="1"/>
  <c r="AF48" i="65"/>
  <c r="AE48" i="65"/>
  <c r="I64" i="65"/>
  <c r="H64" i="65" s="1"/>
  <c r="S45" i="65" l="1"/>
  <c r="R45" i="65"/>
  <c r="CD20" i="55"/>
  <c r="CD18" i="55"/>
  <c r="R52" i="65"/>
  <c r="M31" i="60" s="1"/>
  <c r="CF45" i="55"/>
  <c r="S52" i="65"/>
  <c r="R31" i="60" s="1"/>
  <c r="CF18" i="55"/>
  <c r="B14" i="60" l="1"/>
  <c r="M69" i="55"/>
  <c r="G14" i="60"/>
  <c r="M93" i="55"/>
  <c r="D93" i="55"/>
  <c r="D81" i="55"/>
  <c r="AE45" i="65"/>
  <c r="D69" i="55"/>
  <c r="M81" i="55"/>
  <c r="H51" i="65" s="1"/>
  <c r="AF45" i="65"/>
  <c r="G51" i="65" l="1"/>
  <c r="AI55" i="65" s="1"/>
  <c r="AH55" i="65"/>
  <c r="AH59" i="65" s="1"/>
  <c r="AH56" i="65" l="1"/>
  <c r="AH60" i="65" s="1"/>
  <c r="AI59" i="65"/>
  <c r="AG3" i="77" s="1"/>
  <c r="AI62" i="65" l="1"/>
  <c r="H60" i="65" l="1"/>
  <c r="G60" i="6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tc={830F5E1F-EF90-44EA-AB13-54DDB0193AB2}</author>
  </authors>
  <commentList>
    <comment ref="A11" authorId="0" shapeId="0" xr:uid="{830F5E1F-EF90-44EA-AB13-54DDB0193AB2}">
      <text>
        <t>[Threaded comment]
Your version of Excel allows you to read this threaded comment; however, any edits to it will get removed if the file is opened in a newer version of Excel. Learn more: https://go.microsoft.com/fwlink/?linkid=870924
Comment:
    Could provide options with bare areas: floodplains, rivers?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tc={F4D3C2AE-5671-4483-B316-25A062A32296}</author>
  </authors>
  <commentList>
    <comment ref="G181" authorId="0" shapeId="0" xr:uid="{F4D3C2AE-5671-4483-B316-25A062A32296}">
      <text>
        <t>[Threaded comment]
Your version of Excel allows you to read this threaded comment; however, any edits to it will get removed if the file is opened in a newer version of Excel. Learn more: https://go.microsoft.com/fwlink/?linkid=870924
Comment:
    These values are estimated by taking the average of the predominant grassland system values and the cropland system values.</t>
      </text>
    </comment>
  </commentList>
</comments>
</file>

<file path=xl/sharedStrings.xml><?xml version="1.0" encoding="utf-8"?>
<sst xmlns="http://schemas.openxmlformats.org/spreadsheetml/2006/main" count="3063" uniqueCount="1043">
  <si>
    <t>NO</t>
  </si>
  <si>
    <t>LAC Soils</t>
  </si>
  <si>
    <t>Grassland</t>
  </si>
  <si>
    <t>Alley cropping</t>
  </si>
  <si>
    <t>Default</t>
  </si>
  <si>
    <t>Nutrient management</t>
  </si>
  <si>
    <t>Manure application</t>
  </si>
  <si>
    <t>Area (ha)</t>
  </si>
  <si>
    <t>Yes</t>
  </si>
  <si>
    <t>?</t>
  </si>
  <si>
    <t>Please select</t>
  </si>
  <si>
    <t>No</t>
  </si>
  <si>
    <t>With project</t>
  </si>
  <si>
    <t>Patches</t>
  </si>
  <si>
    <t>Without</t>
  </si>
  <si>
    <t>With</t>
  </si>
  <si>
    <t>Pressure 1: Land Use</t>
  </si>
  <si>
    <t>Protected Area</t>
  </si>
  <si>
    <t>MSA for each patch and pressure</t>
  </si>
  <si>
    <t>MSA (Patch)</t>
  </si>
  <si>
    <t>Patch share</t>
  </si>
  <si>
    <t>MSA (LU)</t>
  </si>
  <si>
    <t>MSA (I)</t>
  </si>
  <si>
    <t>Land area (ha)</t>
  </si>
  <si>
    <t>Patches Without Project</t>
  </si>
  <si>
    <t>Patches With Project</t>
  </si>
  <si>
    <t>Without project</t>
  </si>
  <si>
    <t>W/o P</t>
  </si>
  <si>
    <t>W/P</t>
  </si>
  <si>
    <t>Patch pressures</t>
  </si>
  <si>
    <t>Forest - Natural</t>
  </si>
  <si>
    <t>Select land use</t>
  </si>
  <si>
    <t>MSA (F)</t>
  </si>
  <si>
    <t>MSA (HE)</t>
  </si>
  <si>
    <t>Size of largest undisturbed natural habitat within project area (km2)</t>
  </si>
  <si>
    <t>Percentage of cropland and urban areas</t>
  </si>
  <si>
    <t>Unknown</t>
  </si>
  <si>
    <t xml:space="preserve"> 100-1000</t>
  </si>
  <si>
    <t>Overall MSA</t>
  </si>
  <si>
    <t>Mean Species Abundance</t>
  </si>
  <si>
    <t>Total</t>
  </si>
  <si>
    <t>Climate moisture regime</t>
  </si>
  <si>
    <t>Cool temperate dry</t>
  </si>
  <si>
    <t>Dominant soil type</t>
  </si>
  <si>
    <t>How many project activity patches are there?</t>
  </si>
  <si>
    <t>MSA(LU)</t>
  </si>
  <si>
    <t>MSA(I)</t>
  </si>
  <si>
    <t>MSA(patch)</t>
  </si>
  <si>
    <t>Land use</t>
  </si>
  <si>
    <t>W/ P</t>
  </si>
  <si>
    <t>Patch 1</t>
  </si>
  <si>
    <t>Patch 2</t>
  </si>
  <si>
    <t>Patch 3</t>
  </si>
  <si>
    <t>Patch 4</t>
  </si>
  <si>
    <t>Patch 5</t>
  </si>
  <si>
    <t>Patch 6</t>
  </si>
  <si>
    <t>Patch 7</t>
  </si>
  <si>
    <t>Patch 8</t>
  </si>
  <si>
    <t>Patch 9</t>
  </si>
  <si>
    <t>Patch 10</t>
  </si>
  <si>
    <t>Patch 11</t>
  </si>
  <si>
    <t>Patch 12</t>
  </si>
  <si>
    <t>Patch 13</t>
  </si>
  <si>
    <t>Patch 14</t>
  </si>
  <si>
    <t>Patch 15</t>
  </si>
  <si>
    <t>Patch 16</t>
  </si>
  <si>
    <t>Patch 17</t>
  </si>
  <si>
    <t>Patch 18</t>
  </si>
  <si>
    <t>Patch 19</t>
  </si>
  <si>
    <t>Patch 20</t>
  </si>
  <si>
    <t>Pressure 4: Fragmentation</t>
  </si>
  <si>
    <t>Pressure 5: Human Encroachment</t>
  </si>
  <si>
    <t>MSA(F)</t>
  </si>
  <si>
    <t>MSA(H)</t>
  </si>
  <si>
    <t>MSA(project)</t>
  </si>
  <si>
    <t>-</t>
  </si>
  <si>
    <t>Fragmentation</t>
  </si>
  <si>
    <t>Climate Regime</t>
  </si>
  <si>
    <t>Soil Regime</t>
  </si>
  <si>
    <t>Soil Class (Bouwman et al. 2002)</t>
  </si>
  <si>
    <t>Climate moisture</t>
  </si>
  <si>
    <t>Bouwman et al. classification</t>
  </si>
  <si>
    <t>Soil class 1</t>
  </si>
  <si>
    <t>Soil class 2</t>
  </si>
  <si>
    <t>Soil class 3</t>
  </si>
  <si>
    <t xml:space="preserve">Please select </t>
  </si>
  <si>
    <t>Boreal dry</t>
  </si>
  <si>
    <t>Forest</t>
  </si>
  <si>
    <t>Tundra, taiga, Siberian parks</t>
  </si>
  <si>
    <t>YES</t>
  </si>
  <si>
    <t>Boreal moist</t>
  </si>
  <si>
    <t>Forest - Plantation</t>
  </si>
  <si>
    <t>Snow and ice</t>
  </si>
  <si>
    <t>Boreal wet</t>
  </si>
  <si>
    <t>Forest - Clear-cut harvesting</t>
  </si>
  <si>
    <t>Forest - Selective logging</t>
  </si>
  <si>
    <t>Cool temperate moist</t>
  </si>
  <si>
    <t>Forest - Reduced impact logging</t>
  </si>
  <si>
    <t xml:space="preserve"> 1000-10000</t>
  </si>
  <si>
    <t>Cool temperate wet</t>
  </si>
  <si>
    <t>Warm temperate dry</t>
  </si>
  <si>
    <t>Natural grassland</t>
  </si>
  <si>
    <t>Warm temperate moist</t>
  </si>
  <si>
    <t>Pasture -moderately to intensively used</t>
  </si>
  <si>
    <t>Warm temperate wet</t>
  </si>
  <si>
    <t>Pasture - man-made</t>
  </si>
  <si>
    <t>Temperate forests, woods in agricultural areas, cool grass/shrub</t>
  </si>
  <si>
    <t>Tropical dry</t>
  </si>
  <si>
    <t>Extensive cropland</t>
  </si>
  <si>
    <t>Tropical moist</t>
  </si>
  <si>
    <t>Intensive cropland</t>
  </si>
  <si>
    <t>Tropical wet</t>
  </si>
  <si>
    <t>Irrigated cropland</t>
  </si>
  <si>
    <t>Tropical mountain dry</t>
  </si>
  <si>
    <t>Woody biofuels</t>
  </si>
  <si>
    <t>Tropical mountain moist</t>
  </si>
  <si>
    <t>Bare area</t>
  </si>
  <si>
    <t>Tropical mountain wet</t>
  </si>
  <si>
    <t>Urban area</t>
  </si>
  <si>
    <t>Tropical dry forests</t>
  </si>
  <si>
    <t>Mediterranean grasslands, warm grass/shrub</t>
  </si>
  <si>
    <t>Tropical rain forest, seasonal forest, mangroves</t>
  </si>
  <si>
    <t>Savannas, semi-arid woods, thorns, low shrub, tropical montane forest</t>
  </si>
  <si>
    <t>ha</t>
  </si>
  <si>
    <t>Agroforestry systems</t>
  </si>
  <si>
    <t>Tier 2</t>
  </si>
  <si>
    <t>Fast-growing, usually leguminous, woody species (mainly shrubs) grown in crop fields, usually at high densities. The woody species are regularly pruned and the prunings are applied as mulch into the alleys as a source of organic matter and nutrients. Also known as intercropping.</t>
  </si>
  <si>
    <t>Fallows</t>
  </si>
  <si>
    <t xml:space="preserve">Land rested from cultivation, but comprises planted and managed trees, often leguminous, shrubs and herbaceous cover crops before it is cultivated again. Includes improved and natural fallows, and can be implemented before any of the following systems. </t>
  </si>
  <si>
    <t>Hedgerows</t>
  </si>
  <si>
    <t>Linear plantation around fields, including shelterbelts, windbreaks, boundary plantings and live fences.</t>
  </si>
  <si>
    <t>Multistrata systems</t>
  </si>
  <si>
    <t>Multistorey combinations of a large number of various trees and perennial and annual crops. They include home gardens and agroforests.</t>
  </si>
  <si>
    <t>Parklands</t>
  </si>
  <si>
    <t>Intercropping of agricultural crops or grazing land under low density mature scattered trees. Typical of dry areas like Sahel (e.g. Faidherbia albida).</t>
  </si>
  <si>
    <t>Shaded perennial-crop systems</t>
  </si>
  <si>
    <t>Growing shade-tolerant species such as cacao and coffee under, or in between, overstorey shade trees that can be used for timber or other commercial tree products.</t>
  </si>
  <si>
    <t>Silvoarable systems</t>
  </si>
  <si>
    <t>Woody species planted in parallel tree rows to allow mechanization and intercropped with an annual crop; usually used for timber (e.p. Juglans spp), but also for fuel (e.p. Populus spp). Usually low tree density per hectare.</t>
  </si>
  <si>
    <t>Silvopastures</t>
  </si>
  <si>
    <t>Woody species planted on permanent grasslands, often grazed.</t>
  </si>
  <si>
    <t>Continuously flooded</t>
  </si>
  <si>
    <t>Fields have standing water throughout the rice growing season and may only dry out for harvest (end-season drainage).</t>
  </si>
  <si>
    <t>Intermittently flooded</t>
  </si>
  <si>
    <t>Fields have at least one aeration period of more than 3 days during the cropping season.</t>
  </si>
  <si>
    <t>Intermittently flooded - single aeration</t>
  </si>
  <si>
    <t>Fields have a single aeration during the cropping season at any growth stage (except for end-season drainage).</t>
  </si>
  <si>
    <t>Intermittently flooded - multiple aeration</t>
  </si>
  <si>
    <t>Fields have more than one aeration period during the cropping season (except for end-season drainage).</t>
  </si>
  <si>
    <t>Rainfed and deepwater</t>
  </si>
  <si>
    <t>Fields are flooded for a significant period of time and water regime depends solely on precipitation.</t>
  </si>
  <si>
    <t>Rainfed and deepwater - Regular rainfed</t>
  </si>
  <si>
    <t>The water level may rise up to 50 cm during the cropping season.</t>
  </si>
  <si>
    <t>Rainfed and deepwater - Drought prone</t>
  </si>
  <si>
    <t>Drought periods occur during every cropping season.</t>
  </si>
  <si>
    <t>Rainfed and deepwater - Deep water</t>
  </si>
  <si>
    <t>Water level rises to more than 50 cm above the soil for a significant period of time during the cropping season.</t>
  </si>
  <si>
    <t>Climate</t>
  </si>
  <si>
    <t>Tropical Dry</t>
  </si>
  <si>
    <t>Tropical Moist</t>
  </si>
  <si>
    <t>Tropical Wet</t>
  </si>
  <si>
    <t>Cropland</t>
  </si>
  <si>
    <t>Without Project</t>
  </si>
  <si>
    <t>With Project</t>
  </si>
  <si>
    <t>End</t>
  </si>
  <si>
    <t>Area</t>
  </si>
  <si>
    <t>Tier 1</t>
  </si>
  <si>
    <t>Flooded Rice</t>
  </si>
  <si>
    <t>Degraded Land</t>
  </si>
  <si>
    <t>Other</t>
  </si>
  <si>
    <t>%</t>
  </si>
  <si>
    <t>Value</t>
  </si>
  <si>
    <t>HAC Soils</t>
  </si>
  <si>
    <t>Volcanic Soils</t>
  </si>
  <si>
    <t>Sandy Soils</t>
  </si>
  <si>
    <t>Wetland Soils</t>
  </si>
  <si>
    <t>Spodic Soils</t>
  </si>
  <si>
    <t>Tropical Mountain Dry</t>
  </si>
  <si>
    <t>Tropical Mountain Moist</t>
  </si>
  <si>
    <t>Warm Temperate Dry</t>
  </si>
  <si>
    <t>Warm Temperate Moist</t>
  </si>
  <si>
    <t>Cool Temperate Dry</t>
  </si>
  <si>
    <t>Cool Temperate Moist</t>
  </si>
  <si>
    <t>Boreal Moist</t>
  </si>
  <si>
    <t>Boreal Dry</t>
  </si>
  <si>
    <t>Moisture</t>
  </si>
  <si>
    <t>Very low</t>
  </si>
  <si>
    <t>Low</t>
  </si>
  <si>
    <t>Medium</t>
  </si>
  <si>
    <t>Water management</t>
  </si>
  <si>
    <t>Tropical rain forest</t>
  </si>
  <si>
    <t>Tropical dry forest</t>
  </si>
  <si>
    <t>Improved agronomic practices</t>
  </si>
  <si>
    <t>Agroforestry</t>
  </si>
  <si>
    <t>NA</t>
  </si>
  <si>
    <t>No till &amp; residue retention</t>
  </si>
  <si>
    <t>Using improved varieties, extending crop rotation, increasing crop residues.</t>
  </si>
  <si>
    <t>Improve N use efficiency &amp; decrease N losses: Microdosing, adjusted application rate, timing &amp; location…</t>
  </si>
  <si>
    <t>Adoption of reduced, minimum or zero tillage, with or without mulching, including Conservation Agriculture.</t>
  </si>
  <si>
    <t>Effective irrigation measure.</t>
  </si>
  <si>
    <t>Manure or Biosolids application to the field as input.</t>
  </si>
  <si>
    <t>MAT</t>
  </si>
  <si>
    <t>MAP</t>
  </si>
  <si>
    <t>Mean Annual temperature in °C</t>
  </si>
  <si>
    <t>Mean Annual Precipitation in mm</t>
  </si>
  <si>
    <t>MAT &gt; 18</t>
  </si>
  <si>
    <t>Polar</t>
  </si>
  <si>
    <t>Aquaculture</t>
  </si>
  <si>
    <t>P1</t>
  </si>
  <si>
    <t>P2</t>
  </si>
  <si>
    <t>P3</t>
  </si>
  <si>
    <t>P4</t>
  </si>
  <si>
    <t>P5</t>
  </si>
  <si>
    <t>P6</t>
  </si>
  <si>
    <t>P7</t>
  </si>
  <si>
    <t>P8</t>
  </si>
  <si>
    <t>P9</t>
  </si>
  <si>
    <t>P10</t>
  </si>
  <si>
    <t>P11</t>
  </si>
  <si>
    <t>P12</t>
  </si>
  <si>
    <t>P13</t>
  </si>
  <si>
    <t>P14</t>
  </si>
  <si>
    <t>P15</t>
  </si>
  <si>
    <t>P16</t>
  </si>
  <si>
    <t>P17</t>
  </si>
  <si>
    <t>P18</t>
  </si>
  <si>
    <t>P19</t>
  </si>
  <si>
    <t>P20</t>
  </si>
  <si>
    <t>Project pressures</t>
  </si>
  <si>
    <t>Agrobiodiversity</t>
  </si>
  <si>
    <t>Percentage of natural area</t>
  </si>
  <si>
    <t>Overexploitation of Resources</t>
  </si>
  <si>
    <t>Pressure 6: Climate Change</t>
  </si>
  <si>
    <t>Aggregate Intactness &amp; Richness Index</t>
  </si>
  <si>
    <t>EX-ACT Land Use Type</t>
  </si>
  <si>
    <t>Set-Aside Land</t>
  </si>
  <si>
    <t>Grassland (Non-degraded)</t>
  </si>
  <si>
    <t>Grassland (Moderately degraded)</t>
  </si>
  <si>
    <t>Grassland (Severely degraded)</t>
  </si>
  <si>
    <t>Annual Cropland (w/ improvement)</t>
  </si>
  <si>
    <t>Annual Cropland (w/o improvement)</t>
  </si>
  <si>
    <t>LU impact dominant?</t>
  </si>
  <si>
    <t>Forest/Grassland/Snow</t>
  </si>
  <si>
    <t>Other (Degraded) - Urban area</t>
  </si>
  <si>
    <t>Other (Nominal) - Bare area, Snow and ice</t>
  </si>
  <si>
    <t>Human Encroachment</t>
  </si>
  <si>
    <t>Extensive Agroforestry</t>
  </si>
  <si>
    <t>Intensive Agroforestry</t>
  </si>
  <si>
    <t>Land Use Without Project</t>
  </si>
  <si>
    <t>Land Use With Project</t>
  </si>
  <si>
    <t>Land management options for annual crops</t>
  </si>
  <si>
    <t>Rice water regimes</t>
  </si>
  <si>
    <t>Minimal disturbance, where flora and fauna species abundance are near pristine</t>
  </si>
  <si>
    <t>Forests with extractive use and associated disturbance like hunting and selective logging, where timber extraction is followed by a long period of re-growth with naturally occurring tree species</t>
  </si>
  <si>
    <t>Limited selective logging of semi-natural forest with reduced impact logging management</t>
  </si>
  <si>
    <t>Areas originally covered with forest or woodlands, where vegetation has been removed, forest is re-growing or has a different cover and is no longer in use</t>
  </si>
  <si>
    <t>Grassland or shrubland-dominated vegetation (for example, steppe, tundra, or savannah)</t>
  </si>
  <si>
    <t>Grasslands where wildlife is replaced by grazing livestock</t>
  </si>
  <si>
    <t>Forests and woodlands that have been converted to grasslands for livestock grazing</t>
  </si>
  <si>
    <t>Subsistence and traditional farming, extensive farming, and low external input agriculture</t>
  </si>
  <si>
    <t>High external input agriculture, conventional agriculture, mostly with a degree of regional specialization</t>
  </si>
  <si>
    <t>Irrigation-based agriculture, drainage-based agriculture</t>
  </si>
  <si>
    <t>Agricultural production intercropped with (native) trees. Trees are kept for shade or as wind shelter</t>
  </si>
  <si>
    <t>Cultivated perennial crops, including biofuel crops</t>
  </si>
  <si>
    <t>Areas permanently without vegetation (for example, deserts, high alpine areas)</t>
  </si>
  <si>
    <t>Areas permanently covered with snow or ice considered as undisturbed areas</t>
  </si>
  <si>
    <t>Areas with more than 80% of built up, representing densely populated cities</t>
  </si>
  <si>
    <t>Annual Cropland (with any type of improvement)</t>
  </si>
  <si>
    <t>Annual Cropland (without any type of improvement)</t>
  </si>
  <si>
    <t>Other (Nominal)</t>
  </si>
  <si>
    <t>Other (Degraded)</t>
  </si>
  <si>
    <t>Forest – Reduced impact logging</t>
  </si>
  <si>
    <t>Forest – Clear-cut harvesting</t>
  </si>
  <si>
    <t>Pasture – moderately to intensively used</t>
  </si>
  <si>
    <t>Pasture – man-made</t>
  </si>
  <si>
    <t>Extensive cropland (Low-input agriculture)</t>
  </si>
  <si>
    <t>Woody biofuels and perennial crops</t>
  </si>
  <si>
    <t>Land Use Definitions</t>
  </si>
  <si>
    <t>EX-ACT Land Use</t>
  </si>
  <si>
    <t>Snow and Ice</t>
  </si>
  <si>
    <t>Forest – Selective logging
(Lightly used natural forest)</t>
  </si>
  <si>
    <t>No extent</t>
  </si>
  <si>
    <t>High</t>
  </si>
  <si>
    <t>Biodiversity Hotspots &amp; Species Diversity</t>
  </si>
  <si>
    <t>To what extent does the project promote biodiversity buffers such as shelter belts, windbreaks, field herbaceous borders, etc.?</t>
  </si>
  <si>
    <t xml:space="preserve">To what extent does the project lie in a water stress area? </t>
  </si>
  <si>
    <t xml:space="preserve">To what extent does the project reduce the intensive use of water during the dry season, the use of unrenewable water resources (e.g. groundwater) and remote water sources? </t>
  </si>
  <si>
    <t xml:space="preserve">To what extent does the project promote crop diversification (growing a wider selection of different crops) and intercropping (growing two or more crops at the same time on the same field) practices? </t>
  </si>
  <si>
    <t>To what extent does the project promote genetic diversity of crops, the utilization of traditional crops (crops that have been grown by local farmers over a long period of time), indigenous livestock breeds, and local seed multiplication?</t>
  </si>
  <si>
    <t>To what extent does the project promote integrated pest management (IPM), encouraging non-chemical plant protection methods such as biocontrol agents?</t>
  </si>
  <si>
    <t>To what extent does the project promote conservation agriculture (minimal soil disturbance such as reduced or no till, permanent soil cover such as through mulching, and crop rotation)?</t>
  </si>
  <si>
    <t>To what extent does the project promote mixed agro-ecosystems (e.g. mixed agroforestry)?</t>
  </si>
  <si>
    <t>To what extent does the project promote water harvesting and soil moisture retention methods (the collection and concentration of various forms of runoff water, such as through retention ditches, contour farming, contour furrows, stone lines, grass strips, planting pits, mulching, earth basins, etc.)?</t>
  </si>
  <si>
    <t>Score</t>
  </si>
  <si>
    <t>Weight</t>
  </si>
  <si>
    <t>Sub-result</t>
  </si>
  <si>
    <t>Total Result</t>
  </si>
  <si>
    <t>What is the highest Red List category of species within the project boundaries?</t>
  </si>
  <si>
    <t>Critically endangered</t>
  </si>
  <si>
    <t>Endangered</t>
  </si>
  <si>
    <t>Vulnerable</t>
  </si>
  <si>
    <t>Near threatened</t>
  </si>
  <si>
    <t>To what extent does the project increase the risk of introducing invasive non-native species?</t>
  </si>
  <si>
    <t>&lt;10% water stress</t>
  </si>
  <si>
    <t>10-20% water stress</t>
  </si>
  <si>
    <t>20-40% water stress</t>
  </si>
  <si>
    <t>40-80% water stress</t>
  </si>
  <si>
    <t>&gt;80% water stress</t>
  </si>
  <si>
    <t>Arid or low water use</t>
  </si>
  <si>
    <t>Is the project in a key biodiversity area?</t>
  </si>
  <si>
    <t>Is the project in a protected area?</t>
  </si>
  <si>
    <t>To what extent does the project reinforce forest governance and address illegal logging?</t>
  </si>
  <si>
    <t>Least concern</t>
  </si>
  <si>
    <t>Roads and railways newly built (in km)</t>
  </si>
  <si>
    <t>Qualitative Biodiversity Pressure Index</t>
  </si>
  <si>
    <t>TIER 2</t>
  </si>
  <si>
    <t>Urban areas</t>
  </si>
  <si>
    <t xml:space="preserve"> 0-100</t>
  </si>
  <si>
    <t xml:space="preserve"> 10000-100000</t>
  </si>
  <si>
    <t xml:space="preserve"> 100000-1000000</t>
  </si>
  <si>
    <t xml:space="preserve"> &gt;1000000</t>
  </si>
  <si>
    <t>Forest Zone (Default)</t>
  </si>
  <si>
    <t>Forest Zone (Selective logging)</t>
  </si>
  <si>
    <t>Forest Zone (Reduced impact logging)</t>
  </si>
  <si>
    <t>Forest Zone (Clear-cut harvesting)</t>
  </si>
  <si>
    <t>Irrigated Annual Cropland</t>
  </si>
  <si>
    <t>Bare area / Snow and ice</t>
  </si>
  <si>
    <t>Secondary vegetation</t>
  </si>
  <si>
    <t>GLOBIO Land Use Class</t>
  </si>
  <si>
    <t>Forest Plantation</t>
  </si>
  <si>
    <t>Range rarity</t>
  </si>
  <si>
    <t>AIRI(project)</t>
  </si>
  <si>
    <t>Overall AIRI</t>
  </si>
  <si>
    <t>Include weights for ecological value?</t>
  </si>
  <si>
    <t>Planted forests often with exotic species &amp; Converted forests with a high degree of human management</t>
  </si>
  <si>
    <t>Description of EX-ACT Land Use</t>
  </si>
  <si>
    <t xml:space="preserve">Globio Land Use </t>
  </si>
  <si>
    <t xml:space="preserve">Description of GLOBIO Land Use </t>
  </si>
  <si>
    <t>Non-degraded and sustainably managed grassland (IPCC 2006)</t>
  </si>
  <si>
    <t>Overgrazed or moderately degraded grassland, with somewhat reduced productivity (relative to the native or nominally managed grassland) (IPCC 2006)</t>
  </si>
  <si>
    <t>[Grassland with] major long-term loss of productivity and vegetation cover, due to severe mechanical damage to the vegetation and/or severe soil erosion (IPCC 2006)</t>
  </si>
  <si>
    <t>Forest Plantation: Forest stands established by planting or/and seeding in the process of afforestation or reforestation and meeting all the following criteria: one or two species at planting, even age class, and regular spacing (IPCC 2006)</t>
  </si>
  <si>
    <t>Forest Zone: All land with woody vegetation consistent with thresholds used to define Forest Land in the national greenhouse gas inventory (IPCC 2006)</t>
  </si>
  <si>
    <t>Settlements: All developed land - i.e., residential, transportation, commercial, and production infrastructure of any size, unless it is already included under other land-use categories (IPCC 2006)</t>
  </si>
  <si>
    <t>Perennial systems: gathered trees and shrubs, in combination with herbaceous crops (e.g. agroforestry) or orchards, vineyards and plantations such as cocoa, coffee, tea, oil palm, coconut, rubber trees, and bananas (IPCC 2006)</t>
  </si>
  <si>
    <t>Rice fields flooded permanently or for part of the year (EX-ACT definition)</t>
  </si>
  <si>
    <t>Natural Forest: A forest composed of indigenous trees and not classified as a forest plantation (IPCC 2006)</t>
  </si>
  <si>
    <t>Definitions</t>
  </si>
  <si>
    <t>Alien invasive species</t>
  </si>
  <si>
    <t>Crop diversification</t>
  </si>
  <si>
    <t>Intercropping</t>
  </si>
  <si>
    <t>Traditional crop</t>
  </si>
  <si>
    <t>Indigenous livestock breeds</t>
  </si>
  <si>
    <t>Integrated pest management</t>
  </si>
  <si>
    <t>Conservation agriculture</t>
  </si>
  <si>
    <t>Mixed farming systems</t>
  </si>
  <si>
    <t>Water harvesting and soil water retention methods</t>
  </si>
  <si>
    <t>Varietal diversity of crops</t>
  </si>
  <si>
    <t>Alien invasive species are plants or animals that are not naturally found in an area, the accidental or deliberate introduction of which has or is likely to cause economic or environmental harm (FAO 2018)</t>
  </si>
  <si>
    <t>Species diversification through varied crop associations and/or rotations (involving annual and/or perennial crops including trees) (FAO 2013)</t>
  </si>
  <si>
    <t>Growing two or more crops simultaneously on the same field (FAO 2018)</t>
  </si>
  <si>
    <t>Crops that have been grown for a long time by local communities and that are well adapted to the local agro-climatic conditions (FAO 2018)</t>
  </si>
  <si>
    <t>A breed of livestock, including cattle, camels, sheep, goast, pigs and poultry, which has been in the country for a sufficient time to be genetically adapted to one or more of traditional production systems or environments in the country (FAO 2001)</t>
  </si>
  <si>
    <t>The careful consideration of all available pest control techniques and subsequent integration of appropriate measures that discourage the development of pest populations and keeps pesticides and other interventions to levels that are economically justified and reduce or minimize risks to human health and the environment. IPM emphasizes the growth of a healthy crop with the least possible disruption to agro-ecosystems and encourages natural pest control mechanisms (FAO 2018)</t>
  </si>
  <si>
    <t>An approach characterized by three linked principles, namely, continuous minimum mechanical soil disturbance; permanent organic soil cover; and diversification of crop species grown in sequences and/or associations (FAO 2013)</t>
  </si>
  <si>
    <t>Systems in which livestock keeping is integrated with other agricultural activities, together forming a whole (FAO 2015)</t>
  </si>
  <si>
    <t>Diversification through multiple varieties of a single type of crops (e.g. producing Red Delicious, Fuji, and Gala varieties of apples)</t>
  </si>
  <si>
    <t>The collection and concentration of various forms of runoff water, such as through retention ditches, contour farming, contour furrows, stone lines, grass strips, planting pits, mulching, earth basins, etc. (FAO 2018)</t>
  </si>
  <si>
    <t>Improvements include Improved agronomic practices, nutrient management, no tillage &amp; residue retention, water management, manure application</t>
  </si>
  <si>
    <t>None of the improvements above</t>
  </si>
  <si>
    <t>See Globio description</t>
  </si>
  <si>
    <t>Extensive agroforestry systems include: Parklands, Shaded perennial-crop systems, Silvopastures</t>
  </si>
  <si>
    <t>Intensive agroforestry systems include: Hedgerows, Alley cropping, Fallows, Multistrata system, Silvoarable systems</t>
  </si>
  <si>
    <t>Annual Cropland: Arable and tillable land where annual crops (including cereals, oils seeds, vegetables, root crops and forages) are cultivated
(IPCC 2006)</t>
  </si>
  <si>
    <t>Land with intact vegetation that is not in use, but with some soil disturbance 
(EX-ACT definition)</t>
  </si>
  <si>
    <t>Native vegetation that has been heavily disturbed. Land with low levels of biomass and soil carbon (EX-ACT definition)</t>
  </si>
  <si>
    <t>Land with undisturbed soils, but no vegetation (EX-ACT definition). See Globio definitions for bare area and snow and ice.</t>
  </si>
  <si>
    <t>Land that was formally in use, but has been converted into natural land</t>
  </si>
  <si>
    <t>0-100</t>
  </si>
  <si>
    <t>100-1000</t>
  </si>
  <si>
    <t>1000-10000</t>
  </si>
  <si>
    <t>10000-100000</t>
  </si>
  <si>
    <t>100000-1000000</t>
  </si>
  <si>
    <t>&gt;1000000</t>
  </si>
  <si>
    <t>Positive</t>
  </si>
  <si>
    <t>Neutral</t>
  </si>
  <si>
    <t>Negative</t>
  </si>
  <si>
    <t>An area of connected natural land undisturbed by cropland (including grassland used for intensive grazing) nor urban areas (EX-ACT definition)</t>
  </si>
  <si>
    <t>Further Details</t>
  </si>
  <si>
    <t>\</t>
  </si>
  <si>
    <t>Non-fragmented natural area</t>
  </si>
  <si>
    <t>MSA.ha</t>
  </si>
  <si>
    <t>Level of biodiversity intactness (0 = complete loss, 1 = complete intactness)</t>
  </si>
  <si>
    <t>N</t>
  </si>
  <si>
    <t>A</t>
  </si>
  <si>
    <t>N - Natural
A - Artificial</t>
  </si>
  <si>
    <t>USD</t>
  </si>
  <si>
    <t>Pressure 2: Infrastructure</t>
  </si>
  <si>
    <t>P21</t>
  </si>
  <si>
    <t>P22</t>
  </si>
  <si>
    <t>P23</t>
  </si>
  <si>
    <t>P24</t>
  </si>
  <si>
    <t>P25</t>
  </si>
  <si>
    <t>P26</t>
  </si>
  <si>
    <t>P27</t>
  </si>
  <si>
    <t>P28</t>
  </si>
  <si>
    <t>P29</t>
  </si>
  <si>
    <t>P30</t>
  </si>
  <si>
    <t>Area of Predicted Absolute Biodiversity Loss</t>
  </si>
  <si>
    <t>Hectares of biodiversity loss (conversion of an undisturbed ecosystem into a completely artificial one)</t>
  </si>
  <si>
    <t>MSA(final)</t>
  </si>
  <si>
    <t>Land Use of Patches</t>
  </si>
  <si>
    <t>Roads and Railways (in km)</t>
  </si>
  <si>
    <t>Pressure 4: Human encroachment (HE)</t>
  </si>
  <si>
    <t>Patch 21</t>
  </si>
  <si>
    <t>Patch 22</t>
  </si>
  <si>
    <t>Patch 23</t>
  </si>
  <si>
    <t>Patch 24</t>
  </si>
  <si>
    <t>Patch 25</t>
  </si>
  <si>
    <t>Patch 26</t>
  </si>
  <si>
    <t>Patch 27</t>
  </si>
  <si>
    <t>Patch 28</t>
  </si>
  <si>
    <t>Patch 29</t>
  </si>
  <si>
    <t>Patch 30</t>
  </si>
  <si>
    <t>Natural/Artificial</t>
  </si>
  <si>
    <t>Group 1</t>
  </si>
  <si>
    <t>Group 2</t>
  </si>
  <si>
    <t>Group 3</t>
  </si>
  <si>
    <t>Group 4</t>
  </si>
  <si>
    <t>Group 5</t>
  </si>
  <si>
    <t>Group 6</t>
  </si>
  <si>
    <t>Group 7</t>
  </si>
  <si>
    <t>Group 8</t>
  </si>
  <si>
    <t>Group 9</t>
  </si>
  <si>
    <t>Group 10</t>
  </si>
  <si>
    <t>Group 11</t>
  </si>
  <si>
    <t>Group 12</t>
  </si>
  <si>
    <t>Group 13</t>
  </si>
  <si>
    <t>Group 14</t>
  </si>
  <si>
    <t>Group 15</t>
  </si>
  <si>
    <t>Group 16</t>
  </si>
  <si>
    <t>Group 17</t>
  </si>
  <si>
    <t>Group 18</t>
  </si>
  <si>
    <t>Group 19</t>
  </si>
  <si>
    <t>Group 20</t>
  </si>
  <si>
    <t>Group 21</t>
  </si>
  <si>
    <t>Group 22</t>
  </si>
  <si>
    <t>Group 23</t>
  </si>
  <si>
    <t>Group 24</t>
  </si>
  <si>
    <t>Group 25</t>
  </si>
  <si>
    <t>Group 26</t>
  </si>
  <si>
    <t>Group 27</t>
  </si>
  <si>
    <t>Group 28</t>
  </si>
  <si>
    <t>Group 29</t>
  </si>
  <si>
    <t>Group 30</t>
  </si>
  <si>
    <t>Area %</t>
  </si>
  <si>
    <t>Pressure 3: Fragmentation</t>
  </si>
  <si>
    <t>Non-fragmented natural area (ha)</t>
  </si>
  <si>
    <t>F</t>
  </si>
  <si>
    <t>Project Zone Biodiversity Sensitivity</t>
  </si>
  <si>
    <t>If yes, please provide the project's intended impact on the key biodiversity area</t>
  </si>
  <si>
    <t>If yes, please provide the project's intended impact on the protected area</t>
  </si>
  <si>
    <t>Please provide the project's intended impact on threatened species</t>
  </si>
  <si>
    <t>Please insert</t>
  </si>
  <si>
    <t>Amount invested (USD)</t>
  </si>
  <si>
    <t>Project Impact: Biodiversity Sensitivity</t>
  </si>
  <si>
    <t>Project Impact: Biodiversity Management Activities</t>
  </si>
  <si>
    <t>Y</t>
  </si>
  <si>
    <t>P</t>
  </si>
  <si>
    <t>Decrease</t>
  </si>
  <si>
    <t>Increase</t>
  </si>
  <si>
    <t>What is the share of threatened species (vulnerable, endangered, and critically endangered) among the total number of species within the project boundaries?</t>
  </si>
  <si>
    <t>Does the project increase or decrease the risk of alien invasive species?</t>
  </si>
  <si>
    <t>Does the project have a positive, neutral, or negative impact on the intensive use of water during the dry season, the use of unrenewable water resources (e.g. groundwater) and remote water sources?</t>
  </si>
  <si>
    <t>The project area</t>
  </si>
  <si>
    <t>Biodiversity Management Activities from the Project</t>
  </si>
  <si>
    <t>Agrobiodiversity Practices from the Project</t>
  </si>
  <si>
    <t>Project Impact: Agrobiodiversity Practices</t>
  </si>
  <si>
    <t>Qualitative Biodiversity Impact Summary</t>
  </si>
  <si>
    <t>Area impacted (ha)</t>
  </si>
  <si>
    <t>KBAs</t>
  </si>
  <si>
    <t>Speedometer</t>
  </si>
  <si>
    <t>Pointer</t>
  </si>
  <si>
    <t>KBA</t>
  </si>
  <si>
    <t>Near</t>
  </si>
  <si>
    <t>Not KBA</t>
  </si>
  <si>
    <t>Empty</t>
  </si>
  <si>
    <t>Next to</t>
  </si>
  <si>
    <t>PA</t>
  </si>
  <si>
    <t>Performance</t>
  </si>
  <si>
    <t>Niddle</t>
  </si>
  <si>
    <t>Chart Slice1</t>
  </si>
  <si>
    <t>Bottom Slice 1</t>
  </si>
  <si>
    <t>Species</t>
  </si>
  <si>
    <t>Water stress</t>
  </si>
  <si>
    <t>Share of Threatened Species</t>
  </si>
  <si>
    <t>Water Stress</t>
  </si>
  <si>
    <t>Impact on Key Biodiversity Areas</t>
  </si>
  <si>
    <t>Impact on Protected Areas</t>
  </si>
  <si>
    <t>Impact on Threatened Species</t>
  </si>
  <si>
    <t>Risk of Alien Species</t>
  </si>
  <si>
    <t>Impact on Water Use</t>
  </si>
  <si>
    <t>Biodiversity Management Activities &amp; Agrobiodiversity Practices</t>
  </si>
  <si>
    <t>MSA(HE)</t>
  </si>
  <si>
    <t>Biodiversity Sensitivity &amp; Impact Analysis</t>
  </si>
  <si>
    <t>Artificial</t>
  </si>
  <si>
    <t>Human-wildlife conflict</t>
  </si>
  <si>
    <t>Any human and wildlife interaction which results in negative effects on human social, economic, or cultural life, on wildlife conservation, or on the environment (WWF)</t>
  </si>
  <si>
    <t>For the Ecological value</t>
  </si>
  <si>
    <t>Vulnerability</t>
  </si>
  <si>
    <t>Extinction risk</t>
  </si>
  <si>
    <t>Endemicity</t>
  </si>
  <si>
    <t>Ecological value of</t>
  </si>
  <si>
    <t>Policy Indicators</t>
  </si>
  <si>
    <t xml:space="preserve"> III. MSA+</t>
  </si>
  <si>
    <t>MSA adjusted for</t>
  </si>
  <si>
    <t>Specified</t>
  </si>
  <si>
    <t>Improvements on the Entire Project Area</t>
  </si>
  <si>
    <t>=AI62</t>
  </si>
  <si>
    <t>2.2 Biodiversity Impact (Qualitative)</t>
  </si>
  <si>
    <t xml:space="preserve">Wild species that are found in natural and semi-natural ecosystems, and are critical components of plant genetic resources for food and agriculture (Kell and Maxted, 2009) </t>
  </si>
  <si>
    <t>Genetic resources</t>
  </si>
  <si>
    <t>Crop wild relatives</t>
  </si>
  <si>
    <t xml:space="preserve">The fundamental objective of genetic resources conservation is the maintenance of broad based genetic diversity within each of the species (i.e., intra-specific genetic diversity) (International Board for Plant Genetic Resources, 1991).  </t>
  </si>
  <si>
    <t>List</t>
  </si>
  <si>
    <t>Q7</t>
  </si>
  <si>
    <t>Q8</t>
  </si>
  <si>
    <t>Q9</t>
  </si>
  <si>
    <t>Q10</t>
  </si>
  <si>
    <t>Q11</t>
  </si>
  <si>
    <t>Q12</t>
  </si>
  <si>
    <t>Q13</t>
  </si>
  <si>
    <t>Q14</t>
  </si>
  <si>
    <t>Q15</t>
  </si>
  <si>
    <t>Q16</t>
  </si>
  <si>
    <t>LEVEL 1 (Biome): 1.0, 2.0, etc</t>
  </si>
  <si>
    <t>Previous nr in TEEB database (2010)</t>
  </si>
  <si>
    <t>LEVEL 2 (Ecosystem): 1.1, 1.2, etc</t>
  </si>
  <si>
    <t>Open sea/ocean</t>
  </si>
  <si>
    <t>Shelf sea / neritic zone</t>
  </si>
  <si>
    <t>Deep sea / Abyssal zone</t>
  </si>
  <si>
    <t>Pelagic zone (up to 200 m deep)</t>
  </si>
  <si>
    <t>2.1.2</t>
  </si>
  <si>
    <t>Coral reefs</t>
  </si>
  <si>
    <t>2.3 + 2.2.5</t>
  </si>
  <si>
    <t>Barrier reefs</t>
  </si>
  <si>
    <t>- (2.3 prob)</t>
  </si>
  <si>
    <t>Atolls</t>
  </si>
  <si>
    <t>2.2.6</t>
  </si>
  <si>
    <t>Fringing reefs</t>
  </si>
  <si>
    <t>Patch reefs</t>
  </si>
  <si>
    <t>Coastal systems (incl wetlands)</t>
  </si>
  <si>
    <t>2/2.1/2.1.5</t>
  </si>
  <si>
    <t>Sand dunes, beaches, rocky shores</t>
  </si>
  <si>
    <t>2.1.1</t>
  </si>
  <si>
    <t>Tidal marshes</t>
  </si>
  <si>
    <t>Salt marshes</t>
  </si>
  <si>
    <t>Mangroves</t>
  </si>
  <si>
    <t>2.1.3</t>
  </si>
  <si>
    <t>Lagoons</t>
  </si>
  <si>
    <t>Estuaries</t>
  </si>
  <si>
    <t>3.1.2</t>
  </si>
  <si>
    <t>Unvegetated sediment</t>
  </si>
  <si>
    <t>3.1.1</t>
  </si>
  <si>
    <t>Shellfish reefs</t>
  </si>
  <si>
    <t>Seagrass beds</t>
  </si>
  <si>
    <t>Kelp forests</t>
  </si>
  <si>
    <t>2.1.4</t>
  </si>
  <si>
    <t>Inland wetlands</t>
  </si>
  <si>
    <t>3.2 + 3.2.4</t>
  </si>
  <si>
    <t>Swamps, marshes</t>
  </si>
  <si>
    <t>3.2.1</t>
  </si>
  <si>
    <t>Peatland, Non-forested</t>
  </si>
  <si>
    <t>3.3.3</t>
  </si>
  <si>
    <t>Peatland, Forested</t>
  </si>
  <si>
    <t>3.2.2</t>
  </si>
  <si>
    <t>Peatland, Tropical</t>
  </si>
  <si>
    <t>Peatland, Boreal</t>
  </si>
  <si>
    <t>Wetlands, Forested (on alluvial soils)</t>
  </si>
  <si>
    <t>Wetlands, Groundwater-dependent</t>
  </si>
  <si>
    <t>Floodplains</t>
  </si>
  <si>
    <t>Rivers and lakes</t>
  </si>
  <si>
    <t>Rivers</t>
  </si>
  <si>
    <t>Lakes, freshwater</t>
  </si>
  <si>
    <t>Lakes, saltwater</t>
  </si>
  <si>
    <t>Human made water bodies</t>
  </si>
  <si>
    <t>Tropical forests</t>
  </si>
  <si>
    <t>5.1.1</t>
  </si>
  <si>
    <t>5.1.2</t>
  </si>
  <si>
    <t>Tropical cloud forests</t>
  </si>
  <si>
    <t>Temperate forests</t>
  </si>
  <si>
    <t>Temperate rain or evergreen forest</t>
  </si>
  <si>
    <t>5.2.1</t>
  </si>
  <si>
    <t>Temperate deciduous forest</t>
  </si>
  <si>
    <t>5.2.2</t>
  </si>
  <si>
    <t>5.2.3</t>
  </si>
  <si>
    <t xml:space="preserve">Woodland &amp; Shrubland </t>
  </si>
  <si>
    <t>Tropical wood-&amp; shrublands</t>
  </si>
  <si>
    <t>Mediterranean wood-&amp; shrubland</t>
  </si>
  <si>
    <t>Temperate wood-&amp; shrubland</t>
  </si>
  <si>
    <t>Heathland</t>
  </si>
  <si>
    <t>Grass-/Rangeland</t>
  </si>
  <si>
    <t>Savanna</t>
  </si>
  <si>
    <t>Tropical grasslands</t>
  </si>
  <si>
    <t>Temperate grasslands</t>
  </si>
  <si>
    <t>Steppe (dry, cold grassland)</t>
  </si>
  <si>
    <t>Desert</t>
  </si>
  <si>
    <t>True desert (sand/rock/salt)</t>
  </si>
  <si>
    <t>Semi-desert</t>
  </si>
  <si>
    <t xml:space="preserve">Tundra </t>
  </si>
  <si>
    <t>Alpine Tundra</t>
  </si>
  <si>
    <t>Arctic Tundra</t>
  </si>
  <si>
    <t>High mountain &amp; Polar systems</t>
  </si>
  <si>
    <t>High Mountain - forest</t>
  </si>
  <si>
    <t>High Mountain - grassland</t>
  </si>
  <si>
    <t>High Mountain – snow and ice</t>
  </si>
  <si>
    <t>Inland Un- or Sparsely Vegetated</t>
  </si>
  <si>
    <t>Underground systems</t>
  </si>
  <si>
    <t>[inland rock formations]</t>
  </si>
  <si>
    <t>Miscellaneous</t>
  </si>
  <si>
    <t>Rural and peri-urban landscapes</t>
  </si>
  <si>
    <t>Cropland (arable land)</t>
  </si>
  <si>
    <t>Pastures</t>
  </si>
  <si>
    <t>Orchards/agro-forestry</t>
  </si>
  <si>
    <t>Plantations</t>
  </si>
  <si>
    <t>Rice paddies, etc</t>
  </si>
  <si>
    <t>Small landscape elements</t>
  </si>
  <si>
    <t>Urban Green and Blue Infrastr.</t>
  </si>
  <si>
    <t>Urban Parks &amp; Forests</t>
  </si>
  <si>
    <t>Lawns, sports fields, golf courses</t>
  </si>
  <si>
    <t>Urban lakes, ponds, wetlands</t>
  </si>
  <si>
    <t>Cultivated areas</t>
  </si>
  <si>
    <t>(Street) Trees &amp; Shrubs</t>
  </si>
  <si>
    <t>Other Green Infrastructure</t>
  </si>
  <si>
    <t>Ecosystem valuation in USD</t>
  </si>
  <si>
    <t>EX-ACT Land Uses</t>
  </si>
  <si>
    <t>ESVD land uses</t>
  </si>
  <si>
    <t>3.4, 6, 7, 8, 12.1</t>
  </si>
  <si>
    <r>
      <t>9, 11, 12.2, 14.2</t>
    </r>
    <r>
      <rPr>
        <b/>
        <sz val="8"/>
        <rFont val="Arial"/>
        <family val="2"/>
      </rPr>
      <t>?</t>
    </r>
  </si>
  <si>
    <t>AVERAGE(CROPLAND,GRASSLAND)</t>
  </si>
  <si>
    <t>This value will be set to zero</t>
  </si>
  <si>
    <t>10, 12.3, 12.4, 13</t>
  </si>
  <si>
    <t>FOREST ZONE (DEFAULT)</t>
  </si>
  <si>
    <t>TropicalWet</t>
  </si>
  <si>
    <t>TropicalMoist</t>
  </si>
  <si>
    <t>TropicalDry</t>
  </si>
  <si>
    <t>Tropical MountainMoist</t>
  </si>
  <si>
    <t>Tropical MountainDry</t>
  </si>
  <si>
    <t>Warm TemperateMoist</t>
  </si>
  <si>
    <t>Warm TemperateDry</t>
  </si>
  <si>
    <t>Cool TemperateMoist</t>
  </si>
  <si>
    <t>Cool TemperateDry</t>
  </si>
  <si>
    <t>BorealMoist</t>
  </si>
  <si>
    <t>BorealDry</t>
  </si>
  <si>
    <t>FOREST PLANTATION</t>
  </si>
  <si>
    <t>GRASSLAND (NON-DEGRADED)</t>
  </si>
  <si>
    <t>CROPLAND</t>
  </si>
  <si>
    <t>FLOODED RICE</t>
  </si>
  <si>
    <t>AGROFORESTRY</t>
  </si>
  <si>
    <t>SET-ASIDE LAND</t>
  </si>
  <si>
    <t>AVERAGE(CROPLAND, GRASSLAND)</t>
  </si>
  <si>
    <t>DEGRADED LAND</t>
  </si>
  <si>
    <t>CLIMATE</t>
  </si>
  <si>
    <t>LAND USE</t>
  </si>
  <si>
    <t>CONCATENATED(CLIMATE,LAND USE)</t>
  </si>
  <si>
    <t>HELPER (ECOSYSTEM)</t>
  </si>
  <si>
    <t>ESVD ECOSYSTEM</t>
  </si>
  <si>
    <t>Boreal/coniferous forest ('Taiga')</t>
  </si>
  <si>
    <t>TIER 1</t>
  </si>
  <si>
    <t>TIER 3</t>
  </si>
  <si>
    <t>Forest Type</t>
  </si>
  <si>
    <t>Grassland Type</t>
  </si>
  <si>
    <t>Other (Nominal) Type</t>
  </si>
  <si>
    <t>Land Use</t>
  </si>
  <si>
    <t>Adjusted Land Use</t>
  </si>
  <si>
    <t>CONCATENATE</t>
  </si>
  <si>
    <t>OTHER (NOMINAL) - BARE AREA, SNOW AND ICE</t>
  </si>
  <si>
    <t>TIER 1 - ESV</t>
  </si>
  <si>
    <t>TIER 2 - ESV</t>
  </si>
  <si>
    <t>TIER 3 - ESV</t>
  </si>
  <si>
    <t>Social value of biodiversity</t>
  </si>
  <si>
    <t>Ecosystem distribution</t>
  </si>
  <si>
    <t>ESV.area</t>
  </si>
  <si>
    <t xml:space="preserve">Selective </t>
  </si>
  <si>
    <t>Weighted average ESV ha-1</t>
  </si>
  <si>
    <t>TIER 1 - ESVD</t>
  </si>
  <si>
    <t>TIER 2 - ESVD</t>
  </si>
  <si>
    <t>TIER 3 - ESVD</t>
  </si>
  <si>
    <t>ESVD.area</t>
  </si>
  <si>
    <t>Weighted average ESVD (ha)</t>
  </si>
  <si>
    <t>TIER 3 - ESVB</t>
  </si>
  <si>
    <t>TIER 2 - ESVB</t>
  </si>
  <si>
    <t>Added Social Value of Biodiversity (ASVB)</t>
  </si>
  <si>
    <t>PET</t>
  </si>
  <si>
    <t>Climate Helper : Help to determine the Climate category</t>
  </si>
  <si>
    <t>Potential Evapotranspiration in mm</t>
  </si>
  <si>
    <t>Elevation</t>
  </si>
  <si>
    <t>&gt; 1000</t>
  </si>
  <si>
    <t>Elevation in m</t>
  </si>
  <si>
    <t>2. B-INTACT Land Uses</t>
  </si>
  <si>
    <t>1. Alignment with EX-ACT terminology on management practies</t>
  </si>
  <si>
    <t xml:space="preserve">Elevation in m above sea level </t>
  </si>
  <si>
    <t>MAP &gt; 2000</t>
  </si>
  <si>
    <t>Climate &amp; Moisture regime</t>
  </si>
  <si>
    <t>MAP &lt; 1000</t>
  </si>
  <si>
    <t>MAP and PET in mm</t>
  </si>
  <si>
    <t>MAP &lt; PET</t>
  </si>
  <si>
    <t>&lt; 1000</t>
  </si>
  <si>
    <t>Climate and moisture regime</t>
  </si>
  <si>
    <t>Warm Temperate Mountain Moist</t>
  </si>
  <si>
    <t>Warm Temperate Mountain Dry</t>
  </si>
  <si>
    <t>Cool Temperate Mountain Moist</t>
  </si>
  <si>
    <t>Cool Temperate Mountain Dry</t>
  </si>
  <si>
    <t>Boreal Mountain Moist</t>
  </si>
  <si>
    <t>Boreal Mountain Dry</t>
  </si>
  <si>
    <t>Polar Moist</t>
  </si>
  <si>
    <t>Polar Dry</t>
  </si>
  <si>
    <t>Polar Mountain Moist</t>
  </si>
  <si>
    <t>Polar Mountain Dry</t>
  </si>
  <si>
    <t>FAO GLOBAL ECOLOGICAL ZONES</t>
  </si>
  <si>
    <t>Food and Agriculture Organization of the United Nations, Rome, 2012</t>
  </si>
  <si>
    <t>IPCC, Bonn, 2019</t>
  </si>
  <si>
    <t>Tropical</t>
  </si>
  <si>
    <t>Warm Temperate</t>
  </si>
  <si>
    <t>Cool Temperate</t>
  </si>
  <si>
    <t>Boreal</t>
  </si>
  <si>
    <t>Wet</t>
  </si>
  <si>
    <t>Dry</t>
  </si>
  <si>
    <r>
      <t xml:space="preserve">Is the project in a </t>
    </r>
    <r>
      <rPr>
        <u/>
        <sz val="11"/>
        <rFont val="Roboto"/>
      </rPr>
      <t>key biodiversity area</t>
    </r>
    <r>
      <rPr>
        <sz val="11"/>
        <rFont val="Roboto"/>
      </rPr>
      <t>?</t>
    </r>
  </si>
  <si>
    <r>
      <t xml:space="preserve">Is the project in a </t>
    </r>
    <r>
      <rPr>
        <u/>
        <sz val="11"/>
        <rFont val="Roboto"/>
      </rPr>
      <t>protected area</t>
    </r>
    <r>
      <rPr>
        <sz val="11"/>
        <rFont val="Roboto"/>
      </rPr>
      <t>?</t>
    </r>
  </si>
  <si>
    <r>
      <t xml:space="preserve">What is the </t>
    </r>
    <r>
      <rPr>
        <u/>
        <sz val="11"/>
        <color theme="1"/>
        <rFont val="Roboto"/>
      </rPr>
      <t>share of threatened species</t>
    </r>
    <r>
      <rPr>
        <sz val="11"/>
        <color theme="1"/>
        <rFont val="Roboto"/>
      </rPr>
      <t xml:space="preserve"> (vulnerable, endangered, and critically endangered) among the total number of species within the project boundaries?</t>
    </r>
  </si>
  <si>
    <r>
      <t xml:space="preserve">Does the project increase or decrease the risk of </t>
    </r>
    <r>
      <rPr>
        <u/>
        <sz val="11"/>
        <color theme="1"/>
        <rFont val="Roboto"/>
      </rPr>
      <t>alien invasive species</t>
    </r>
    <r>
      <rPr>
        <sz val="11"/>
        <color theme="1"/>
        <rFont val="Roboto"/>
      </rPr>
      <t>?</t>
    </r>
  </si>
  <si>
    <r>
      <t xml:space="preserve">To what extent does the project lie in a </t>
    </r>
    <r>
      <rPr>
        <u/>
        <sz val="11"/>
        <color theme="1"/>
        <rFont val="Roboto"/>
      </rPr>
      <t>water stress area</t>
    </r>
    <r>
      <rPr>
        <sz val="11"/>
        <color theme="1"/>
        <rFont val="Roboto"/>
      </rPr>
      <t xml:space="preserve">? </t>
    </r>
  </si>
  <si>
    <r>
      <t xml:space="preserve">Does the project have a positive, neutral, or negative impact on the intensive use of </t>
    </r>
    <r>
      <rPr>
        <u/>
        <sz val="11"/>
        <color theme="1"/>
        <rFont val="Roboto"/>
      </rPr>
      <t>water during the dry season</t>
    </r>
    <r>
      <rPr>
        <sz val="11"/>
        <color theme="1"/>
        <rFont val="Roboto"/>
      </rPr>
      <t xml:space="preserve">, the use of </t>
    </r>
    <r>
      <rPr>
        <u/>
        <sz val="11"/>
        <color theme="1"/>
        <rFont val="Roboto"/>
      </rPr>
      <t>unrenewable water resources</t>
    </r>
    <r>
      <rPr>
        <sz val="11"/>
        <color theme="1"/>
        <rFont val="Roboto"/>
      </rPr>
      <t xml:space="preserve"> (e.g. groundwater) and </t>
    </r>
    <r>
      <rPr>
        <u/>
        <sz val="11"/>
        <color theme="1"/>
        <rFont val="Roboto"/>
      </rPr>
      <t>remote water sources</t>
    </r>
    <r>
      <rPr>
        <sz val="11"/>
        <color theme="1"/>
        <rFont val="Roboto"/>
      </rPr>
      <t>?</t>
    </r>
  </si>
  <si>
    <r>
      <t xml:space="preserve">Patches impacted </t>
    </r>
    <r>
      <rPr>
        <sz val="12"/>
        <rFont val="Roboto"/>
      </rPr>
      <t>(Please select all)</t>
    </r>
  </si>
  <si>
    <r>
      <t xml:space="preserve">Does the project promote </t>
    </r>
    <r>
      <rPr>
        <u/>
        <sz val="11"/>
        <rFont val="Roboto"/>
      </rPr>
      <t>biodiversity buffers</t>
    </r>
    <r>
      <rPr>
        <sz val="11"/>
        <rFont val="Roboto"/>
      </rPr>
      <t xml:space="preserve"> that increase landscape connectivity such as shelter belts, windbreaks, field herbaceous borders, etc.?</t>
    </r>
  </si>
  <si>
    <r>
      <t xml:space="preserve">Does the project promote measures to reduce and/or prevent </t>
    </r>
    <r>
      <rPr>
        <u/>
        <sz val="11"/>
        <color theme="1"/>
        <rFont val="Roboto"/>
      </rPr>
      <t>human-wildlife conflict</t>
    </r>
    <r>
      <rPr>
        <sz val="11"/>
        <color theme="1"/>
        <rFont val="Roboto"/>
      </rPr>
      <t>?</t>
    </r>
  </si>
  <si>
    <r>
      <t xml:space="preserve">Does the project </t>
    </r>
    <r>
      <rPr>
        <u/>
        <sz val="11"/>
        <color theme="1"/>
        <rFont val="Roboto"/>
      </rPr>
      <t>reinforce forest governance</t>
    </r>
    <r>
      <rPr>
        <sz val="11"/>
        <color theme="1"/>
        <rFont val="Roboto"/>
      </rPr>
      <t xml:space="preserve"> and </t>
    </r>
    <r>
      <rPr>
        <u/>
        <sz val="11"/>
        <color theme="1"/>
        <rFont val="Roboto"/>
      </rPr>
      <t>address illegal logging</t>
    </r>
    <r>
      <rPr>
        <sz val="11"/>
        <color theme="1"/>
        <rFont val="Roboto"/>
      </rPr>
      <t>?</t>
    </r>
  </si>
  <si>
    <r>
      <t xml:space="preserve">Does the project promote </t>
    </r>
    <r>
      <rPr>
        <u/>
        <sz val="11"/>
        <color theme="1"/>
        <rFont val="Roboto"/>
      </rPr>
      <t>crop diversification</t>
    </r>
    <r>
      <rPr>
        <sz val="11"/>
        <color theme="1"/>
        <rFont val="Roboto"/>
      </rPr>
      <t xml:space="preserve">, </t>
    </r>
    <r>
      <rPr>
        <u/>
        <sz val="11"/>
        <color theme="1"/>
        <rFont val="Roboto"/>
      </rPr>
      <t>intercropping</t>
    </r>
    <r>
      <rPr>
        <sz val="11"/>
        <color theme="1"/>
        <rFont val="Roboto"/>
      </rPr>
      <t xml:space="preserve">, and/or </t>
    </r>
    <r>
      <rPr>
        <u/>
        <sz val="11"/>
        <color theme="1"/>
        <rFont val="Roboto"/>
      </rPr>
      <t>crop rotation</t>
    </r>
    <r>
      <rPr>
        <sz val="11"/>
        <color theme="1"/>
        <rFont val="Roboto"/>
      </rPr>
      <t xml:space="preserve"> practices?</t>
    </r>
  </si>
  <si>
    <r>
      <t xml:space="preserve">Does the project promote </t>
    </r>
    <r>
      <rPr>
        <u/>
        <sz val="11"/>
        <color theme="1"/>
        <rFont val="Roboto"/>
      </rPr>
      <t>varietal diversity of crops</t>
    </r>
    <r>
      <rPr>
        <sz val="11"/>
        <color theme="1"/>
        <rFont val="Roboto"/>
      </rPr>
      <t xml:space="preserve">, the utilization of </t>
    </r>
    <r>
      <rPr>
        <u/>
        <sz val="11"/>
        <color theme="1"/>
        <rFont val="Roboto"/>
      </rPr>
      <t>traditional crops</t>
    </r>
    <r>
      <rPr>
        <sz val="11"/>
        <color theme="1"/>
        <rFont val="Roboto"/>
      </rPr>
      <t xml:space="preserve">, and/or </t>
    </r>
    <r>
      <rPr>
        <u/>
        <sz val="11"/>
        <color theme="1"/>
        <rFont val="Roboto"/>
      </rPr>
      <t>indigenous livestock breeds</t>
    </r>
    <r>
      <rPr>
        <sz val="11"/>
        <color theme="1"/>
        <rFont val="Roboto"/>
      </rPr>
      <t>?</t>
    </r>
  </si>
  <si>
    <r>
      <t xml:space="preserve">Does the project promote </t>
    </r>
    <r>
      <rPr>
        <u/>
        <sz val="11"/>
        <color theme="1"/>
        <rFont val="Roboto"/>
      </rPr>
      <t>integrated pest management (IPM)</t>
    </r>
    <r>
      <rPr>
        <sz val="11"/>
        <color theme="1"/>
        <rFont val="Roboto"/>
      </rPr>
      <t>?</t>
    </r>
  </si>
  <si>
    <r>
      <t xml:space="preserve">Does the project promote </t>
    </r>
    <r>
      <rPr>
        <u/>
        <sz val="11"/>
        <color theme="1"/>
        <rFont val="Roboto"/>
      </rPr>
      <t>conservation agriculture</t>
    </r>
    <r>
      <rPr>
        <sz val="11"/>
        <color theme="1"/>
        <rFont val="Roboto"/>
      </rPr>
      <t>?</t>
    </r>
  </si>
  <si>
    <r>
      <t xml:space="preserve">Does the project promote </t>
    </r>
    <r>
      <rPr>
        <u/>
        <sz val="11"/>
        <color theme="1"/>
        <rFont val="Roboto"/>
      </rPr>
      <t>mixed farming systems</t>
    </r>
    <r>
      <rPr>
        <sz val="11"/>
        <color theme="1"/>
        <rFont val="Roboto"/>
      </rPr>
      <t xml:space="preserve"> and/or </t>
    </r>
    <r>
      <rPr>
        <u/>
        <sz val="11"/>
        <color theme="1"/>
        <rFont val="Roboto"/>
      </rPr>
      <t>mixed home gardens</t>
    </r>
    <r>
      <rPr>
        <sz val="11"/>
        <color theme="1"/>
        <rFont val="Roboto"/>
      </rPr>
      <t>?</t>
    </r>
  </si>
  <si>
    <r>
      <t xml:space="preserve">Does the project promote </t>
    </r>
    <r>
      <rPr>
        <u/>
        <sz val="11"/>
        <color theme="1"/>
        <rFont val="Roboto"/>
      </rPr>
      <t>water harvesting</t>
    </r>
    <r>
      <rPr>
        <sz val="11"/>
        <color theme="1"/>
        <rFont val="Roboto"/>
      </rPr>
      <t xml:space="preserve"> and/or </t>
    </r>
    <r>
      <rPr>
        <u/>
        <sz val="11"/>
        <color theme="1"/>
        <rFont val="Roboto"/>
      </rPr>
      <t>soil moisture retention methods</t>
    </r>
    <r>
      <rPr>
        <sz val="11"/>
        <color theme="1"/>
        <rFont val="Roboto"/>
      </rPr>
      <t>?</t>
    </r>
  </si>
  <si>
    <r>
      <t xml:space="preserve">Does the project promote </t>
    </r>
    <r>
      <rPr>
        <u/>
        <sz val="11"/>
        <color theme="1"/>
        <rFont val="Roboto"/>
      </rPr>
      <t>field margins</t>
    </r>
    <r>
      <rPr>
        <sz val="11"/>
        <color theme="1"/>
        <rFont val="Roboto"/>
      </rPr>
      <t xml:space="preserve"> (e.g. planting flower strips along field borders)?</t>
    </r>
  </si>
  <si>
    <r>
      <t xml:space="preserve">Does the project support in situ conservation of </t>
    </r>
    <r>
      <rPr>
        <u/>
        <sz val="11"/>
        <color theme="1"/>
        <rFont val="Roboto"/>
      </rPr>
      <t>crop wild relatives</t>
    </r>
    <r>
      <rPr>
        <sz val="11"/>
        <color theme="1"/>
        <rFont val="Roboto"/>
      </rPr>
      <t xml:space="preserve"> (e.g. protection of natural or semi-natural areas where crop wild relatives grow)?</t>
    </r>
  </si>
  <si>
    <r>
      <t xml:space="preserve">Does the project support on-farm conservation of </t>
    </r>
    <r>
      <rPr>
        <u/>
        <sz val="11"/>
        <color theme="1"/>
        <rFont val="Roboto"/>
      </rPr>
      <t>genetic resources</t>
    </r>
    <r>
      <rPr>
        <sz val="11"/>
        <color theme="1"/>
        <rFont val="Roboto"/>
      </rPr>
      <t xml:space="preserve"> (e.g. community seed banks) and/or the development of the </t>
    </r>
    <r>
      <rPr>
        <u/>
        <sz val="11"/>
        <color theme="1"/>
        <rFont val="Roboto"/>
      </rPr>
      <t>local seed industry</t>
    </r>
    <r>
      <rPr>
        <sz val="11"/>
        <color theme="1"/>
        <rFont val="Roboto"/>
      </rPr>
      <t xml:space="preserve"> (e.g. promote the use of farm-saved seeds, support informal seed systems)?</t>
    </r>
  </si>
  <si>
    <t>Country:</t>
  </si>
  <si>
    <t>Climate:</t>
  </si>
  <si>
    <t>Moisture:</t>
  </si>
  <si>
    <t>For help:</t>
  </si>
  <si>
    <t>Click here</t>
  </si>
  <si>
    <t>Countries</t>
  </si>
  <si>
    <t>British Indian Ocean Territory</t>
  </si>
  <si>
    <t>Burundi</t>
  </si>
  <si>
    <t>Comoros</t>
  </si>
  <si>
    <t>Djibouti</t>
  </si>
  <si>
    <t>Eritrea</t>
  </si>
  <si>
    <t>Ethiopia</t>
  </si>
  <si>
    <t>French Southern Territories</t>
  </si>
  <si>
    <t>Kenya</t>
  </si>
  <si>
    <t>Madagascar</t>
  </si>
  <si>
    <t>Malawi</t>
  </si>
  <si>
    <t>Mauritius</t>
  </si>
  <si>
    <t>Mayotte</t>
  </si>
  <si>
    <t>Mozambique</t>
  </si>
  <si>
    <t>Réunion</t>
  </si>
  <si>
    <t>Rwanda</t>
  </si>
  <si>
    <t>Seychelles</t>
  </si>
  <si>
    <t>Somalia</t>
  </si>
  <si>
    <t>South Sudan</t>
  </si>
  <si>
    <t>Uganda</t>
  </si>
  <si>
    <t>United Republic of Tanzania</t>
  </si>
  <si>
    <t>Zambia</t>
  </si>
  <si>
    <t>Zimbabwe</t>
  </si>
  <si>
    <t>Angola</t>
  </si>
  <si>
    <t>Cameroon</t>
  </si>
  <si>
    <t>Central African Republic</t>
  </si>
  <si>
    <t>Chad</t>
  </si>
  <si>
    <t>Congo</t>
  </si>
  <si>
    <t>Democratic Republic of the Congo</t>
  </si>
  <si>
    <t>Equatorial Guinea</t>
  </si>
  <si>
    <t>Gabon</t>
  </si>
  <si>
    <t>Sao Tome and Principe</t>
  </si>
  <si>
    <t>Algeria</t>
  </si>
  <si>
    <t>Egypt</t>
  </si>
  <si>
    <t>Libya</t>
  </si>
  <si>
    <t>Morocco</t>
  </si>
  <si>
    <t>Sudan</t>
  </si>
  <si>
    <t>Tunisia</t>
  </si>
  <si>
    <t>Western Sahara</t>
  </si>
  <si>
    <t>Botswana</t>
  </si>
  <si>
    <t>Eswatini</t>
  </si>
  <si>
    <t>Lesotho</t>
  </si>
  <si>
    <t>Namibia</t>
  </si>
  <si>
    <t>South Africa</t>
  </si>
  <si>
    <t>Benin</t>
  </si>
  <si>
    <t>Burkina Faso</t>
  </si>
  <si>
    <t>Cabo Verde</t>
  </si>
  <si>
    <t>Côte d’Ivoire</t>
  </si>
  <si>
    <t>Gambia</t>
  </si>
  <si>
    <t>Ghana</t>
  </si>
  <si>
    <t>Guinea</t>
  </si>
  <si>
    <t>Guinea-Bissau</t>
  </si>
  <si>
    <t>Liberia</t>
  </si>
  <si>
    <t>Mali</t>
  </si>
  <si>
    <t>Mauritania</t>
  </si>
  <si>
    <t>Niger</t>
  </si>
  <si>
    <t>Nigeria</t>
  </si>
  <si>
    <t>Saint Helena</t>
  </si>
  <si>
    <t>Senegal</t>
  </si>
  <si>
    <t>Sierra Leone</t>
  </si>
  <si>
    <t>Togo</t>
  </si>
  <si>
    <t>Kazakhstan</t>
  </si>
  <si>
    <t>Kyrgyzstan</t>
  </si>
  <si>
    <t>Tajikistan</t>
  </si>
  <si>
    <t>Turkmenistan</t>
  </si>
  <si>
    <t>Uzbekistan</t>
  </si>
  <si>
    <t>China</t>
  </si>
  <si>
    <t>China, Hong Kong Special Administrative Region</t>
  </si>
  <si>
    <t>China, Macao Special Administrative Region</t>
  </si>
  <si>
    <t>Democratic People's Republic of Korea</t>
  </si>
  <si>
    <t>Japan</t>
  </si>
  <si>
    <t>Mongolia</t>
  </si>
  <si>
    <t>Republic of Korea</t>
  </si>
  <si>
    <t>Brunei Darussalam</t>
  </si>
  <si>
    <t>Cambodia</t>
  </si>
  <si>
    <t>Indonesia</t>
  </si>
  <si>
    <t>Lao People's Democratic Republic</t>
  </si>
  <si>
    <t>Malaysia</t>
  </si>
  <si>
    <t>Myanmar</t>
  </si>
  <si>
    <t>Philippines</t>
  </si>
  <si>
    <t>Singapore</t>
  </si>
  <si>
    <t>Thailand</t>
  </si>
  <si>
    <t>Timor-Leste</t>
  </si>
  <si>
    <t>Viet Nam</t>
  </si>
  <si>
    <t>Afghanistan</t>
  </si>
  <si>
    <t>Bangladesh</t>
  </si>
  <si>
    <t>Bhutan</t>
  </si>
  <si>
    <t>India</t>
  </si>
  <si>
    <t>Iran</t>
  </si>
  <si>
    <t>Maldives</t>
  </si>
  <si>
    <t>Nepal</t>
  </si>
  <si>
    <t>Pakistan</t>
  </si>
  <si>
    <t>Sri Lanka</t>
  </si>
  <si>
    <t>Armenia</t>
  </si>
  <si>
    <t>Azerbaijan</t>
  </si>
  <si>
    <t>Bahrain</t>
  </si>
  <si>
    <t>Cyprus</t>
  </si>
  <si>
    <t>Georgia</t>
  </si>
  <si>
    <t>Iraq</t>
  </si>
  <si>
    <t>Israel</t>
  </si>
  <si>
    <t>Jordan</t>
  </si>
  <si>
    <t>Kuwait</t>
  </si>
  <si>
    <t>Lebanon</t>
  </si>
  <si>
    <t>Oman</t>
  </si>
  <si>
    <t>Qatar</t>
  </si>
  <si>
    <t>Saudi Arabia</t>
  </si>
  <si>
    <t>State of Palestine</t>
  </si>
  <si>
    <t>Syrian Arab Republic</t>
  </si>
  <si>
    <t>Turkey</t>
  </si>
  <si>
    <t>United Arab Emirates</t>
  </si>
  <si>
    <t>Yemen</t>
  </si>
  <si>
    <t>Åland Islands</t>
  </si>
  <si>
    <t>Albania</t>
  </si>
  <si>
    <t>Andorra</t>
  </si>
  <si>
    <t>Austria</t>
  </si>
  <si>
    <t>Belarus</t>
  </si>
  <si>
    <t>Belgium</t>
  </si>
  <si>
    <t>Bosnia and Herzegovina</t>
  </si>
  <si>
    <t>Bulgaria</t>
  </si>
  <si>
    <t>Croatia</t>
  </si>
  <si>
    <t>Czechia</t>
  </si>
  <si>
    <t>Denmark</t>
  </si>
  <si>
    <t>Estonia</t>
  </si>
  <si>
    <t>Faroe Islands</t>
  </si>
  <si>
    <t>Finland</t>
  </si>
  <si>
    <t>France</t>
  </si>
  <si>
    <t>Germany</t>
  </si>
  <si>
    <t>Gibraltar</t>
  </si>
  <si>
    <t>Greece</t>
  </si>
  <si>
    <t>Guernsey</t>
  </si>
  <si>
    <t>Holy See</t>
  </si>
  <si>
    <t>Hungary</t>
  </si>
  <si>
    <t>Iceland</t>
  </si>
  <si>
    <t>Ireland</t>
  </si>
  <si>
    <t>Isle of Man</t>
  </si>
  <si>
    <t>Italy</t>
  </si>
  <si>
    <t>Jersey</t>
  </si>
  <si>
    <t>Latvia</t>
  </si>
  <si>
    <t>Liechtenstein</t>
  </si>
  <si>
    <t>Lithuania</t>
  </si>
  <si>
    <t>Luxembourg</t>
  </si>
  <si>
    <t>Malta</t>
  </si>
  <si>
    <t>Monaco</t>
  </si>
  <si>
    <t>Montenegro</t>
  </si>
  <si>
    <t>Netherlands</t>
  </si>
  <si>
    <t>North Macedonia</t>
  </si>
  <si>
    <t>Norway</t>
  </si>
  <si>
    <t>Poland</t>
  </si>
  <si>
    <t>Portugal</t>
  </si>
  <si>
    <t>Republic of Moldova</t>
  </si>
  <si>
    <t>Romania</t>
  </si>
  <si>
    <t>Russian Federation</t>
  </si>
  <si>
    <t>San Marino</t>
  </si>
  <si>
    <t>Sark</t>
  </si>
  <si>
    <t>Serbia</t>
  </si>
  <si>
    <t>Slovakia</t>
  </si>
  <si>
    <t>Slovenia</t>
  </si>
  <si>
    <t>Spain</t>
  </si>
  <si>
    <t>Svalbard and Jan Mayen Islands</t>
  </si>
  <si>
    <t>Sweden</t>
  </si>
  <si>
    <t>Switzerland</t>
  </si>
  <si>
    <t>Ukraine</t>
  </si>
  <si>
    <t>United Kingdom of Great Britain and Northern Ireland</t>
  </si>
  <si>
    <t>American Samoa</t>
  </si>
  <si>
    <t>Australia</t>
  </si>
  <si>
    <t>Christmas Island</t>
  </si>
  <si>
    <t>Cocos (Keeling) Islands</t>
  </si>
  <si>
    <t>Cook Islands</t>
  </si>
  <si>
    <t>Fiji</t>
  </si>
  <si>
    <t>French Polynesia</t>
  </si>
  <si>
    <t>Guam</t>
  </si>
  <si>
    <t>Heard Island and McDonald Islands</t>
  </si>
  <si>
    <t>Kiribati</t>
  </si>
  <si>
    <t>Marshall Islands</t>
  </si>
  <si>
    <t>Micronesia (Federated States of)</t>
  </si>
  <si>
    <t>Nauru</t>
  </si>
  <si>
    <t>New Caledonia</t>
  </si>
  <si>
    <t>New Zealand</t>
  </si>
  <si>
    <t>Niue</t>
  </si>
  <si>
    <t>Norfolk Island</t>
  </si>
  <si>
    <t>Northern Mariana Islands</t>
  </si>
  <si>
    <t>Palau</t>
  </si>
  <si>
    <t>Papua New Guinea</t>
  </si>
  <si>
    <t>Pitcairn</t>
  </si>
  <si>
    <t>Samoa</t>
  </si>
  <si>
    <t>Solomon Islands</t>
  </si>
  <si>
    <t>Tokelau</t>
  </si>
  <si>
    <t>Tonga</t>
  </si>
  <si>
    <t>Tuvalu</t>
  </si>
  <si>
    <t>United States Minor Outlying Islands</t>
  </si>
  <si>
    <t>Vanuatu</t>
  </si>
  <si>
    <t>Wallis and Futuna Islands</t>
  </si>
  <si>
    <t>Bermuda</t>
  </si>
  <si>
    <t>Canada</t>
  </si>
  <si>
    <t>Greenland</t>
  </si>
  <si>
    <t>Saint Pierre and Miquelon</t>
  </si>
  <si>
    <t>United States of America</t>
  </si>
  <si>
    <t>Argentina</t>
  </si>
  <si>
    <t>Bolivia</t>
  </si>
  <si>
    <t>Bouvet Island</t>
  </si>
  <si>
    <t>Brazil</t>
  </si>
  <si>
    <t>Chile</t>
  </si>
  <si>
    <t>Colombia</t>
  </si>
  <si>
    <t>Ecuador</t>
  </si>
  <si>
    <t>Falkland Islands (Malvinas)</t>
  </si>
  <si>
    <t>French Guiana</t>
  </si>
  <si>
    <t>Guyana</t>
  </si>
  <si>
    <t>Paraguay</t>
  </si>
  <si>
    <t>Peru</t>
  </si>
  <si>
    <t>South Georgia and the South Sandwich Islands</t>
  </si>
  <si>
    <t>Suriname</t>
  </si>
  <si>
    <t>Uruguay</t>
  </si>
  <si>
    <t>Venezuela</t>
  </si>
  <si>
    <t>Belize</t>
  </si>
  <si>
    <t>Costa Rica</t>
  </si>
  <si>
    <t>El Salvador</t>
  </si>
  <si>
    <t>Guatemala</t>
  </si>
  <si>
    <t>Honduras</t>
  </si>
  <si>
    <t>Mexico</t>
  </si>
  <si>
    <t>Nicaragua</t>
  </si>
  <si>
    <t>Panama</t>
  </si>
  <si>
    <t>Anguilla</t>
  </si>
  <si>
    <t>Antigua and Barbuda</t>
  </si>
  <si>
    <t>Aruba</t>
  </si>
  <si>
    <t>Bahamas</t>
  </si>
  <si>
    <t>Barbados</t>
  </si>
  <si>
    <t>Bonaire, Sint Eustatius and Saba</t>
  </si>
  <si>
    <t>British Virgin Islands</t>
  </si>
  <si>
    <t>Cayman Islands</t>
  </si>
  <si>
    <t>Cuba</t>
  </si>
  <si>
    <t>Curaçao</t>
  </si>
  <si>
    <t>Dominica</t>
  </si>
  <si>
    <t>Dominican Republic</t>
  </si>
  <si>
    <t>Grenada</t>
  </si>
  <si>
    <t>Guadeloupe</t>
  </si>
  <si>
    <t>Haiti</t>
  </si>
  <si>
    <t>Jamaica</t>
  </si>
  <si>
    <t>Martinique</t>
  </si>
  <si>
    <t>Montserrat</t>
  </si>
  <si>
    <t>Puerto Rico</t>
  </si>
  <si>
    <t>Saint Barthélemy</t>
  </si>
  <si>
    <t>Saint Kitts and Nevis</t>
  </si>
  <si>
    <t>Saint Lucia</t>
  </si>
  <si>
    <t>Saint Martin (French Part)</t>
  </si>
  <si>
    <t>Saint Vincent and the Grenadines</t>
  </si>
  <si>
    <t>Sint Maarten (Dutch part)</t>
  </si>
  <si>
    <t>Trinidad and Tobago</t>
  </si>
  <si>
    <t>Turks and Caicos Islands</t>
  </si>
  <si>
    <t>United States Virgin Islands</t>
  </si>
  <si>
    <t>Continent</t>
  </si>
  <si>
    <t>Eastern Africa</t>
  </si>
  <si>
    <t>Central Africa</t>
  </si>
  <si>
    <t>Northern Africa</t>
  </si>
  <si>
    <t>Southern Africa</t>
  </si>
  <si>
    <t>Western Africa</t>
  </si>
  <si>
    <t>Central Asia</t>
  </si>
  <si>
    <t>Eastern Asia</t>
  </si>
  <si>
    <t>South-eastern Asia</t>
  </si>
  <si>
    <t>Southern Asia</t>
  </si>
  <si>
    <t>Western Asia</t>
  </si>
  <si>
    <t>Europe</t>
  </si>
  <si>
    <t>Oceania</t>
  </si>
  <si>
    <t>North America</t>
  </si>
  <si>
    <t>South America</t>
  </si>
  <si>
    <t>Central America</t>
  </si>
  <si>
    <t>Caribbean</t>
  </si>
  <si>
    <t>COUNTIF</t>
  </si>
  <si>
    <t>LIST</t>
  </si>
  <si>
    <t xml:space="preserve">Specified Climate </t>
  </si>
  <si>
    <t>Elevation (masl):</t>
  </si>
  <si>
    <t>PolarDry</t>
  </si>
  <si>
    <t>PolarMoist</t>
  </si>
  <si>
    <t>Warm Temperate MountainMoist</t>
  </si>
  <si>
    <t>Warm Temperate MountainDry</t>
  </si>
  <si>
    <t>Cool Temperate MountainMoist</t>
  </si>
  <si>
    <t>Cool Temperate MountainDry</t>
  </si>
  <si>
    <t>Boreal MountainMoist</t>
  </si>
  <si>
    <t>Boreal MountainDry</t>
  </si>
  <si>
    <t>Polar MountainMoist</t>
  </si>
  <si>
    <t>Polar MountainDry</t>
  </si>
  <si>
    <t>Moist</t>
  </si>
  <si>
    <t>Biodiversity Score Results</t>
  </si>
  <si>
    <t>Key Biodiversity Area</t>
  </si>
  <si>
    <t>Biodiversity Impact (Quantitative)</t>
  </si>
  <si>
    <t>10 &lt; MAT ≤ 18</t>
  </si>
  <si>
    <t>0 &lt; MAT ≤ 10</t>
  </si>
  <si>
    <t>MAT ≤ -10</t>
  </si>
  <si>
    <t>1000 &lt; MAP ≤ 2000</t>
  </si>
  <si>
    <t>MAP ≥ 1000</t>
  </si>
  <si>
    <t>MAP ≥ PET</t>
  </si>
  <si>
    <t>Social Value of Intact Biodiversity (per 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</si>
</sst>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_-;\-* #,##0.00\ _€_-;_-* &quot;-&quot;??\ _€_-;_-@_-"/>
    <numFmt numFmtId="165" formatCode="0.0%"/>
    <numFmt numFmtId="166" formatCode="#,##0.0"/>
    <numFmt numFmtId="167" formatCode="#,##0\ &quot;USD&quot;"/>
    <numFmt numFmtId="168" formatCode="#,##0\ &quot;ha&quot;"/>
    <numFmt numFmtId="169" formatCode="[$USD]\ #,##0.00"/>
    <numFmt numFmtId="170" formatCode="[$USD]\ #,##0"/>
  </numFmts>
  <fonts count="11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i/>
      <sz val="10"/>
      <name val="Arial"/>
      <family val="2"/>
    </font>
    <font>
      <sz val="8"/>
      <name val="Arial"/>
      <family val="2"/>
    </font>
    <font>
      <u/>
      <sz val="10"/>
      <color indexed="12"/>
      <name val="Arial"/>
      <family val="2"/>
    </font>
    <font>
      <sz val="10"/>
      <name val="Arial"/>
      <family val="2"/>
    </font>
    <font>
      <sz val="8"/>
      <color theme="0"/>
      <name val="Arial"/>
      <family val="2"/>
    </font>
    <font>
      <sz val="10"/>
      <name val="Arial"/>
      <family val="2"/>
    </font>
    <font>
      <sz val="10"/>
      <name val="Arial"/>
      <family val="2"/>
    </font>
    <font>
      <sz val="10"/>
      <name val="Century Gothic"/>
      <family val="2"/>
    </font>
    <font>
      <b/>
      <sz val="10"/>
      <name val="Century Gothic"/>
      <family val="2"/>
    </font>
    <font>
      <b/>
      <sz val="11"/>
      <color theme="0"/>
      <name val="Calibri"/>
      <family val="2"/>
      <scheme val="minor"/>
    </font>
    <font>
      <sz val="11"/>
      <color theme="1"/>
      <name val="Century Gothic"/>
      <family val="2"/>
    </font>
    <font>
      <b/>
      <sz val="20"/>
      <color theme="0"/>
      <name val="Century Gothic"/>
      <family val="2"/>
    </font>
    <font>
      <sz val="11"/>
      <name val="Calibri"/>
      <family val="2"/>
    </font>
    <font>
      <sz val="10"/>
      <color theme="1"/>
      <name val="Arial"/>
      <family val="2"/>
    </font>
    <font>
      <sz val="11"/>
      <color theme="0"/>
      <name val="Calibri"/>
      <family val="2"/>
      <scheme val="minor"/>
    </font>
    <font>
      <sz val="8.5"/>
      <color theme="1"/>
      <name val="Verdana"/>
      <family val="2"/>
    </font>
    <font>
      <b/>
      <sz val="8.5"/>
      <color rgb="FF000000"/>
      <name val="Verdana"/>
      <family val="2"/>
    </font>
    <font>
      <sz val="8.5"/>
      <color rgb="FF000000"/>
      <name val="Verdana"/>
      <family val="2"/>
    </font>
    <font>
      <b/>
      <sz val="8.5"/>
      <color theme="1"/>
      <name val="Verdana"/>
      <family val="2"/>
    </font>
    <font>
      <sz val="8"/>
      <color rgb="FF000000"/>
      <name val="Arial"/>
      <family val="2"/>
    </font>
    <font>
      <b/>
      <sz val="8"/>
      <name val="Arial"/>
      <family val="2"/>
    </font>
    <font>
      <sz val="8.5"/>
      <color theme="0"/>
      <name val="Verdana"/>
      <family val="2"/>
    </font>
    <font>
      <b/>
      <sz val="14"/>
      <color theme="0"/>
      <name val="Calibri"/>
      <family val="2"/>
      <scheme val="minor"/>
    </font>
    <font>
      <sz val="10"/>
      <color theme="0"/>
      <name val="Arial"/>
      <family val="2"/>
    </font>
    <font>
      <sz val="10"/>
      <color rgb="FFF2C80F"/>
      <name val="Roboto"/>
    </font>
    <font>
      <b/>
      <sz val="16"/>
      <color theme="0"/>
      <name val="Roboto"/>
    </font>
    <font>
      <sz val="10"/>
      <name val="Roboto"/>
    </font>
    <font>
      <sz val="11"/>
      <color theme="1"/>
      <name val="Roboto"/>
    </font>
    <font>
      <i/>
      <sz val="11"/>
      <color rgb="FFFF0000"/>
      <name val="Roboto"/>
    </font>
    <font>
      <i/>
      <sz val="11"/>
      <color theme="1"/>
      <name val="Roboto"/>
    </font>
    <font>
      <sz val="11"/>
      <color rgb="FFFAE99F"/>
      <name val="Roboto"/>
    </font>
    <font>
      <sz val="9"/>
      <color rgb="FFFF0000"/>
      <name val="Roboto"/>
    </font>
    <font>
      <b/>
      <sz val="16"/>
      <color theme="1"/>
      <name val="Roboto"/>
    </font>
    <font>
      <b/>
      <sz val="16"/>
      <name val="Roboto"/>
    </font>
    <font>
      <b/>
      <sz val="10"/>
      <name val="Roboto"/>
    </font>
    <font>
      <b/>
      <sz val="14"/>
      <color theme="0"/>
      <name val="Roboto"/>
    </font>
    <font>
      <b/>
      <sz val="12"/>
      <name val="Roboto"/>
    </font>
    <font>
      <b/>
      <sz val="10"/>
      <color theme="1"/>
      <name val="Roboto"/>
    </font>
    <font>
      <sz val="10"/>
      <color theme="1"/>
      <name val="Roboto"/>
    </font>
    <font>
      <b/>
      <sz val="14"/>
      <color theme="1"/>
      <name val="Roboto"/>
    </font>
    <font>
      <b/>
      <sz val="9"/>
      <color theme="1"/>
      <name val="Roboto"/>
    </font>
    <font>
      <b/>
      <sz val="9"/>
      <name val="Roboto"/>
    </font>
    <font>
      <b/>
      <sz val="11"/>
      <color theme="1"/>
      <name val="Roboto"/>
    </font>
    <font>
      <sz val="14"/>
      <color theme="0"/>
      <name val="Roboto"/>
    </font>
    <font>
      <sz val="9"/>
      <color rgb="FFF2F2F2"/>
      <name val="Roboto"/>
    </font>
    <font>
      <sz val="10"/>
      <color rgb="FFF2F2F2"/>
      <name val="Roboto"/>
    </font>
    <font>
      <sz val="9"/>
      <name val="Roboto"/>
    </font>
    <font>
      <b/>
      <sz val="11"/>
      <color rgb="FFFF0000"/>
      <name val="Roboto"/>
    </font>
    <font>
      <b/>
      <sz val="11"/>
      <color rgb="FF374649"/>
      <name val="Roboto"/>
    </font>
    <font>
      <sz val="10"/>
      <color theme="0"/>
      <name val="Roboto"/>
    </font>
    <font>
      <b/>
      <sz val="28"/>
      <color theme="1"/>
      <name val="Roboto"/>
    </font>
    <font>
      <b/>
      <sz val="36"/>
      <color theme="1"/>
      <name val="Roboto"/>
    </font>
    <font>
      <sz val="60"/>
      <color theme="1"/>
      <name val="Roboto"/>
    </font>
    <font>
      <sz val="72"/>
      <name val="Roboto"/>
    </font>
    <font>
      <b/>
      <sz val="14"/>
      <name val="Roboto"/>
    </font>
    <font>
      <sz val="12"/>
      <color theme="0"/>
      <name val="Roboto"/>
    </font>
    <font>
      <sz val="14"/>
      <name val="Roboto"/>
    </font>
    <font>
      <b/>
      <sz val="10"/>
      <color rgb="FFFF0000"/>
      <name val="Roboto"/>
    </font>
    <font>
      <sz val="10"/>
      <color rgb="FF000000"/>
      <name val="Roboto"/>
    </font>
    <font>
      <sz val="11"/>
      <color rgb="FF000000"/>
      <name val="Roboto"/>
    </font>
    <font>
      <i/>
      <sz val="11"/>
      <color rgb="FFF2F2F2"/>
      <name val="Roboto"/>
    </font>
    <font>
      <b/>
      <sz val="12"/>
      <color theme="1"/>
      <name val="Roboto"/>
    </font>
    <font>
      <b/>
      <sz val="12"/>
      <color rgb="FFFAE99F"/>
      <name val="Roboto"/>
    </font>
    <font>
      <i/>
      <sz val="9"/>
      <color theme="1"/>
      <name val="Roboto"/>
    </font>
    <font>
      <b/>
      <sz val="14"/>
      <color rgb="FF365F91"/>
      <name val="Roboto"/>
    </font>
    <font>
      <b/>
      <sz val="11"/>
      <color rgb="FFFAE99F"/>
      <name val="Roboto"/>
    </font>
    <font>
      <sz val="11"/>
      <name val="Roboto"/>
    </font>
    <font>
      <u/>
      <sz val="11"/>
      <name val="Roboto"/>
    </font>
    <font>
      <u/>
      <sz val="11"/>
      <color theme="1"/>
      <name val="Roboto"/>
    </font>
    <font>
      <sz val="11"/>
      <color rgb="FFC00000"/>
      <name val="Roboto"/>
    </font>
    <font>
      <i/>
      <sz val="9"/>
      <color theme="2"/>
      <name val="Roboto"/>
    </font>
    <font>
      <sz val="12"/>
      <name val="Roboto"/>
    </font>
    <font>
      <i/>
      <sz val="9"/>
      <color theme="3"/>
      <name val="Roboto"/>
    </font>
    <font>
      <b/>
      <sz val="11"/>
      <name val="Roboto"/>
    </font>
    <font>
      <b/>
      <sz val="10"/>
      <color rgb="FFF4F4F4"/>
      <name val="Roboto"/>
    </font>
    <font>
      <sz val="10"/>
      <color rgb="FFF4F4F4"/>
      <name val="Roboto"/>
    </font>
    <font>
      <b/>
      <i/>
      <sz val="9"/>
      <color theme="1"/>
      <name val="Roboto"/>
    </font>
    <font>
      <i/>
      <sz val="10"/>
      <color theme="2"/>
      <name val="Roboto"/>
    </font>
    <font>
      <b/>
      <sz val="24"/>
      <color theme="1"/>
      <name val="Roboto"/>
    </font>
    <font>
      <b/>
      <sz val="24"/>
      <name val="Roboto"/>
    </font>
    <font>
      <sz val="26"/>
      <name val="Roboto"/>
    </font>
    <font>
      <sz val="36"/>
      <name val="Roboto"/>
    </font>
    <font>
      <b/>
      <sz val="26"/>
      <name val="Roboto"/>
    </font>
    <font>
      <b/>
      <sz val="9"/>
      <color rgb="FFF4F4F4"/>
      <name val="Roboto"/>
    </font>
    <font>
      <sz val="8"/>
      <name val="Roboto"/>
    </font>
    <font>
      <i/>
      <sz val="10"/>
      <color theme="0"/>
      <name val="Roboto"/>
    </font>
    <font>
      <u/>
      <sz val="10"/>
      <color indexed="12"/>
      <name val="Roboto"/>
    </font>
    <font>
      <b/>
      <sz val="24"/>
      <color theme="0"/>
      <name val="Roboto"/>
    </font>
    <font>
      <b/>
      <i/>
      <sz val="10"/>
      <name val="Roboto"/>
    </font>
    <font>
      <i/>
      <sz val="10"/>
      <name val="Roboto"/>
    </font>
    <font>
      <b/>
      <sz val="10"/>
      <color indexed="10"/>
      <name val="Roboto"/>
    </font>
    <font>
      <sz val="9"/>
      <color indexed="12"/>
      <name val="Roboto"/>
    </font>
    <font>
      <b/>
      <sz val="20"/>
      <color theme="0"/>
      <name val="Roboto"/>
    </font>
    <font>
      <sz val="16"/>
      <color theme="0"/>
      <name val="Roboto"/>
    </font>
    <font>
      <b/>
      <sz val="11"/>
      <color theme="0"/>
      <name val="Roboto"/>
    </font>
    <font>
      <sz val="11"/>
      <color theme="0"/>
      <name val="Roboto"/>
    </font>
    <font>
      <i/>
      <sz val="9"/>
      <name val="Roboto"/>
    </font>
    <font>
      <b/>
      <sz val="8"/>
      <name val="Roboto"/>
    </font>
    <font>
      <sz val="10"/>
      <color theme="0" tint="-4.9989318521683403E-2"/>
      <name val="Roboto"/>
    </font>
    <font>
      <b/>
      <sz val="11"/>
      <color rgb="FFFFFFFF"/>
      <name val="Roboto"/>
    </font>
    <font>
      <sz val="11"/>
      <color rgb="FFF2F2F2"/>
      <name val="Roboto"/>
    </font>
    <font>
      <sz val="12"/>
      <name val="Arial"/>
      <family val="2"/>
    </font>
    <font>
      <sz val="14"/>
      <name val="Arial"/>
      <family val="2"/>
    </font>
    <font>
      <sz val="12"/>
      <color theme="0"/>
      <name val="Arial"/>
      <family val="2"/>
    </font>
    <font>
      <sz val="14"/>
      <color rgb="FFCFCFCF"/>
      <name val="Arial"/>
      <family val="2"/>
    </font>
    <font>
      <sz val="14"/>
      <color rgb="FFF2C80F"/>
      <name val="Roboto Bold"/>
    </font>
    <font>
      <b/>
      <sz val="9"/>
      <color rgb="FFF2F2F2"/>
      <name val="Roboto"/>
    </font>
  </fonts>
  <fills count="34">
    <fill>
      <patternFill patternType="none"/>
    </fill>
    <fill>
      <patternFill patternType="gray125"/>
    </fill>
    <fill>
      <patternFill patternType="solid">
        <fgColor theme="2" tint="-9.9978637043366805E-2"/>
        <bgColor indexed="64"/>
      </patternFill>
    </fill>
    <fill>
      <patternFill patternType="solid">
        <fgColor rgb="FFFFFF00"/>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374649"/>
        <bgColor indexed="64"/>
      </patternFill>
    </fill>
    <fill>
      <patternFill patternType="solid">
        <fgColor rgb="FFF2F2F2"/>
        <bgColor indexed="64"/>
      </patternFill>
    </fill>
    <fill>
      <patternFill patternType="solid">
        <fgColor rgb="FFA5A5A5"/>
      </patternFill>
    </fill>
    <fill>
      <patternFill patternType="solid">
        <fgColor rgb="FFF2C80F"/>
        <bgColor indexed="64"/>
      </patternFill>
    </fill>
    <fill>
      <patternFill patternType="solid">
        <fgColor rgb="FFF4F4F4"/>
        <bgColor indexed="64"/>
      </patternFill>
    </fill>
    <fill>
      <patternFill patternType="solid">
        <fgColor rgb="FF5F6B6D"/>
        <bgColor indexed="64"/>
      </patternFill>
    </fill>
    <fill>
      <patternFill patternType="solid">
        <fgColor rgb="FFFAE99F"/>
        <bgColor indexed="64"/>
      </patternFill>
    </fill>
    <fill>
      <patternFill patternType="solid">
        <fgColor rgb="FFFFC000"/>
        <bgColor indexed="64"/>
      </patternFill>
    </fill>
    <fill>
      <patternFill patternType="solid">
        <fgColor theme="6"/>
        <bgColor indexed="64"/>
      </patternFill>
    </fill>
    <fill>
      <patternFill patternType="solid">
        <fgColor theme="1" tint="0.499984740745262"/>
        <bgColor indexed="64"/>
      </patternFill>
    </fill>
    <fill>
      <patternFill patternType="solid">
        <fgColor theme="5"/>
        <bgColor indexed="64"/>
      </patternFill>
    </fill>
    <fill>
      <patternFill patternType="solid">
        <fgColor rgb="FF192D3F"/>
        <bgColor indexed="64"/>
      </patternFill>
    </fill>
    <fill>
      <patternFill patternType="solid">
        <fgColor rgb="FF006400"/>
        <bgColor indexed="64"/>
      </patternFill>
    </fill>
    <fill>
      <patternFill patternType="solid">
        <fgColor rgb="FFFFB432"/>
        <bgColor indexed="64"/>
      </patternFill>
    </fill>
    <fill>
      <patternFill patternType="solid">
        <fgColor rgb="FFFFFF64"/>
        <bgColor indexed="64"/>
      </patternFill>
    </fill>
    <fill>
      <patternFill patternType="solid">
        <fgColor rgb="FFC8C864"/>
        <bgColor indexed="64"/>
      </patternFill>
    </fill>
    <fill>
      <patternFill patternType="solid">
        <fgColor rgb="FFDCDCDC"/>
        <bgColor indexed="64"/>
      </patternFill>
    </fill>
    <fill>
      <patternFill patternType="solid">
        <fgColor rgb="FFC31400"/>
        <bgColor indexed="64"/>
      </patternFill>
    </fill>
    <fill>
      <patternFill patternType="solid">
        <fgColor theme="6" tint="-0.499984740745262"/>
        <bgColor indexed="64"/>
      </patternFill>
    </fill>
    <fill>
      <patternFill patternType="solid">
        <fgColor theme="0" tint="-0.34998626667073579"/>
        <bgColor indexed="64"/>
      </patternFill>
    </fill>
    <fill>
      <patternFill patternType="solid">
        <fgColor rgb="FFFFFFB9"/>
        <bgColor indexed="64"/>
      </patternFill>
    </fill>
    <fill>
      <patternFill patternType="solid">
        <fgColor rgb="FF394041"/>
        <bgColor indexed="64"/>
      </patternFill>
    </fill>
    <fill>
      <patternFill patternType="solid">
        <fgColor rgb="FFFBECAB"/>
        <bgColor indexed="64"/>
      </patternFill>
    </fill>
    <fill>
      <patternFill patternType="solid">
        <fgColor rgb="FFCFCFCF"/>
        <bgColor indexed="64"/>
      </patternFill>
    </fill>
  </fills>
  <borders count="20">
    <border>
      <left/>
      <right/>
      <top/>
      <bottom/>
      <diagonal/>
    </border>
    <border>
      <left/>
      <right/>
      <top/>
      <bottom style="medium">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right style="thin">
        <color rgb="FF212121"/>
      </right>
      <top/>
      <bottom/>
      <diagonal/>
    </border>
    <border>
      <left/>
      <right/>
      <top/>
      <bottom style="medium">
        <color rgb="FF212121"/>
      </bottom>
      <diagonal/>
    </border>
    <border>
      <left style="thin">
        <color rgb="FF212121"/>
      </left>
      <right/>
      <top/>
      <bottom/>
      <diagonal/>
    </border>
    <border>
      <left/>
      <right style="thin">
        <color rgb="FF5F6B6D"/>
      </right>
      <top/>
      <bottom/>
      <diagonal/>
    </border>
    <border>
      <left/>
      <right/>
      <top style="medium">
        <color rgb="FFF4F4F4"/>
      </top>
      <bottom/>
      <diagonal/>
    </border>
    <border>
      <left/>
      <right style="thin">
        <color rgb="FFF4F4F4"/>
      </right>
      <top/>
      <bottom/>
      <diagonal/>
    </border>
    <border>
      <left style="thin">
        <color rgb="FFF4F4F4"/>
      </left>
      <right/>
      <top/>
      <bottom/>
      <diagonal/>
    </border>
    <border>
      <left style="thin">
        <color rgb="FF192D3F"/>
      </left>
      <right style="thin">
        <color rgb="FF192D3F"/>
      </right>
      <top style="thin">
        <color rgb="FF192D3F"/>
      </top>
      <bottom style="thin">
        <color rgb="FF192D3F"/>
      </bottom>
      <diagonal/>
    </border>
    <border>
      <left style="thin">
        <color rgb="FF192D3F"/>
      </left>
      <right/>
      <top/>
      <bottom/>
      <diagonal/>
    </border>
    <border>
      <left/>
      <right/>
      <top/>
      <bottom style="thin">
        <color rgb="FF192D3F"/>
      </bottom>
      <diagonal/>
    </border>
    <border>
      <left/>
      <right/>
      <top style="thin">
        <color rgb="FF192D3F"/>
      </top>
      <bottom/>
      <diagonal/>
    </border>
    <border>
      <left/>
      <right style="thin">
        <color rgb="FF192D3F"/>
      </right>
      <top/>
      <bottom/>
      <diagonal/>
    </border>
  </borders>
  <cellStyleXfs count="26">
    <xf numFmtId="0" fontId="0" fillId="0" borderId="0"/>
    <xf numFmtId="0" fontId="10" fillId="0" borderId="0" applyNumberFormat="0" applyFill="0" applyBorder="0" applyAlignment="0" applyProtection="0">
      <alignment vertical="top"/>
      <protection locked="0"/>
    </xf>
    <xf numFmtId="0" fontId="11" fillId="0" borderId="0"/>
    <xf numFmtId="9" fontId="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13" fillId="0" borderId="0" applyFont="0" applyFill="0" applyBorder="0" applyAlignment="0" applyProtection="0"/>
    <xf numFmtId="0" fontId="5" fillId="0" borderId="0"/>
    <xf numFmtId="0" fontId="4" fillId="0" borderId="0"/>
    <xf numFmtId="164" fontId="14" fillId="0" borderId="0" applyFont="0" applyFill="0" applyBorder="0" applyAlignment="0" applyProtection="0"/>
    <xf numFmtId="9" fontId="6" fillId="0" borderId="0" applyFont="0" applyFill="0" applyBorder="0" applyAlignment="0" applyProtection="0"/>
    <xf numFmtId="0" fontId="3" fillId="0" borderId="0"/>
    <xf numFmtId="0" fontId="3" fillId="0" borderId="0"/>
    <xf numFmtId="164" fontId="6" fillId="0" borderId="0" applyFont="0" applyFill="0" applyBorder="0" applyAlignment="0" applyProtection="0"/>
    <xf numFmtId="0" fontId="17" fillId="12" borderId="7" applyNumberFormat="0" applyAlignment="0" applyProtection="0"/>
    <xf numFmtId="0" fontId="2" fillId="0" borderId="0"/>
    <xf numFmtId="0" fontId="16" fillId="0" borderId="0"/>
    <xf numFmtId="0" fontId="1" fillId="0" borderId="0"/>
    <xf numFmtId="0" fontId="1" fillId="0" borderId="0"/>
    <xf numFmtId="0" fontId="1" fillId="0" borderId="0"/>
    <xf numFmtId="0" fontId="1" fillId="0" borderId="0"/>
    <xf numFmtId="0" fontId="1" fillId="0" borderId="0"/>
  </cellStyleXfs>
  <cellXfs count="535">
    <xf numFmtId="0" fontId="0" fillId="0" borderId="0" xfId="0"/>
    <xf numFmtId="0" fontId="0" fillId="0" borderId="0" xfId="0" applyAlignment="1">
      <alignment horizontal="left"/>
    </xf>
    <xf numFmtId="0" fontId="7" fillId="0" borderId="0" xfId="0" applyFont="1"/>
    <xf numFmtId="0" fontId="0" fillId="0" borderId="0" xfId="0"/>
    <xf numFmtId="0" fontId="0" fillId="0" borderId="0" xfId="0" applyAlignment="1">
      <alignment horizontal="center" vertical="center"/>
    </xf>
    <xf numFmtId="0" fontId="6" fillId="0" borderId="0" xfId="0" applyFont="1"/>
    <xf numFmtId="0" fontId="0" fillId="0" borderId="0" xfId="0" applyAlignment="1">
      <alignment wrapText="1"/>
    </xf>
    <xf numFmtId="0" fontId="0" fillId="0" borderId="0" xfId="0" applyFill="1"/>
    <xf numFmtId="0" fontId="0" fillId="8" borderId="0" xfId="0" applyFill="1"/>
    <xf numFmtId="2" fontId="0" fillId="0" borderId="0" xfId="0" applyNumberFormat="1"/>
    <xf numFmtId="0" fontId="6" fillId="0" borderId="0" xfId="0" applyFont="1" applyAlignment="1">
      <alignment horizontal="center" vertical="center"/>
    </xf>
    <xf numFmtId="0" fontId="6" fillId="8" borderId="0" xfId="0" applyFont="1" applyFill="1"/>
    <xf numFmtId="0" fontId="6" fillId="0" borderId="0" xfId="0" applyFont="1" applyFill="1"/>
    <xf numFmtId="0" fontId="0" fillId="0" borderId="0" xfId="0" applyFill="1" applyAlignment="1">
      <alignment horizontal="left"/>
    </xf>
    <xf numFmtId="0" fontId="6" fillId="0" borderId="0" xfId="0" applyFont="1" applyAlignment="1">
      <alignment wrapText="1"/>
    </xf>
    <xf numFmtId="2" fontId="0" fillId="0" borderId="0" xfId="0" applyNumberFormat="1" applyAlignment="1">
      <alignment horizontal="center"/>
    </xf>
    <xf numFmtId="2" fontId="0" fillId="0" borderId="0" xfId="0" applyNumberFormat="1" applyFill="1" applyAlignment="1">
      <alignment horizontal="center"/>
    </xf>
    <xf numFmtId="0" fontId="18" fillId="13" borderId="0" xfId="19" applyFont="1" applyFill="1"/>
    <xf numFmtId="0" fontId="15" fillId="13" borderId="0" xfId="0" applyFont="1" applyFill="1"/>
    <xf numFmtId="0" fontId="0" fillId="11" borderId="0" xfId="0" applyFill="1"/>
    <xf numFmtId="0" fontId="0" fillId="15" borderId="0" xfId="0" applyFill="1"/>
    <xf numFmtId="9" fontId="0" fillId="0" borderId="0" xfId="3" applyFont="1"/>
    <xf numFmtId="16" fontId="0" fillId="0" borderId="0" xfId="0" applyNumberFormat="1"/>
    <xf numFmtId="0" fontId="0" fillId="0" borderId="0" xfId="0" applyAlignment="1">
      <alignment vertical="center"/>
    </xf>
    <xf numFmtId="0" fontId="0" fillId="0" borderId="0" xfId="0" applyFill="1" applyAlignment="1"/>
    <xf numFmtId="9" fontId="0" fillId="0" borderId="0" xfId="3" applyFont="1" applyFill="1"/>
    <xf numFmtId="2" fontId="0" fillId="0" borderId="0" xfId="0" applyNumberFormat="1" applyAlignment="1">
      <alignment horizontal="center" vertical="center"/>
    </xf>
    <xf numFmtId="0" fontId="0" fillId="0" borderId="0" xfId="0" applyFill="1" applyAlignment="1">
      <alignment horizontal="center"/>
    </xf>
    <xf numFmtId="0" fontId="0" fillId="0" borderId="0" xfId="0" applyFill="1" applyAlignment="1">
      <alignment horizontal="center" vertical="center"/>
    </xf>
    <xf numFmtId="0" fontId="0" fillId="0" borderId="0" xfId="0" applyFill="1" applyAlignment="1">
      <alignment horizontal="center" vertical="center"/>
    </xf>
    <xf numFmtId="0" fontId="0" fillId="0" borderId="0" xfId="0" applyFill="1" applyAlignment="1">
      <alignment horizontal="center" vertical="center" wrapText="1"/>
    </xf>
    <xf numFmtId="0" fontId="0" fillId="0" borderId="0" xfId="0" applyFill="1" applyAlignment="1">
      <alignment vertical="center"/>
    </xf>
    <xf numFmtId="2" fontId="0" fillId="0" borderId="0" xfId="0" applyNumberFormat="1" applyFill="1" applyAlignment="1">
      <alignment horizontal="center" vertical="center"/>
    </xf>
    <xf numFmtId="0" fontId="6" fillId="4" borderId="0" xfId="0" applyFont="1" applyFill="1" applyAlignment="1">
      <alignment horizontal="center" vertical="center"/>
    </xf>
    <xf numFmtId="2" fontId="6" fillId="4" borderId="0" xfId="0" applyNumberFormat="1" applyFont="1" applyFill="1" applyAlignment="1">
      <alignment horizontal="left"/>
    </xf>
    <xf numFmtId="2" fontId="6" fillId="4" borderId="0" xfId="0" applyNumberFormat="1" applyFont="1" applyFill="1" applyAlignment="1">
      <alignment horizontal="center" vertical="center"/>
    </xf>
    <xf numFmtId="0" fontId="6" fillId="4" borderId="0" xfId="0" applyFont="1" applyFill="1" applyAlignment="1">
      <alignment horizontal="left"/>
    </xf>
    <xf numFmtId="165" fontId="0" fillId="0" borderId="0" xfId="0" applyNumberFormat="1" applyFill="1"/>
    <xf numFmtId="0" fontId="0" fillId="0" borderId="0" xfId="0" applyAlignment="1">
      <alignment horizontal="center"/>
    </xf>
    <xf numFmtId="0" fontId="0" fillId="0" borderId="0" xfId="0" applyFill="1" applyAlignment="1">
      <alignment horizontal="center"/>
    </xf>
    <xf numFmtId="0" fontId="8" fillId="0" borderId="0" xfId="0" applyFont="1"/>
    <xf numFmtId="2" fontId="0" fillId="19" borderId="0" xfId="0" applyNumberFormat="1" applyFill="1" applyAlignment="1">
      <alignment horizontal="center"/>
    </xf>
    <xf numFmtId="2" fontId="0" fillId="17" borderId="0" xfId="0" applyNumberFormat="1" applyFill="1" applyAlignment="1">
      <alignment horizontal="center"/>
    </xf>
    <xf numFmtId="0" fontId="0" fillId="0" borderId="0" xfId="0" applyAlignment="1">
      <alignment horizontal="center"/>
    </xf>
    <xf numFmtId="0" fontId="7" fillId="0" borderId="0" xfId="0" applyFont="1" applyAlignment="1">
      <alignment horizontal="center"/>
    </xf>
    <xf numFmtId="0" fontId="7" fillId="0" borderId="0" xfId="0" applyFont="1" applyAlignment="1">
      <alignment horizontal="center" wrapText="1"/>
    </xf>
    <xf numFmtId="0" fontId="0" fillId="0" borderId="0" xfId="0" applyFill="1" applyAlignment="1">
      <alignment horizontal="center"/>
    </xf>
    <xf numFmtId="0" fontId="0" fillId="0" borderId="0" xfId="0" applyFill="1" applyAlignment="1">
      <alignment horizontal="center" vertical="center"/>
    </xf>
    <xf numFmtId="2" fontId="0" fillId="20" borderId="0" xfId="0" applyNumberFormat="1" applyFill="1" applyAlignment="1">
      <alignment horizontal="center"/>
    </xf>
    <xf numFmtId="0" fontId="21" fillId="0" borderId="0" xfId="0" applyFont="1" applyFill="1"/>
    <xf numFmtId="2" fontId="0" fillId="18" borderId="0" xfId="0" applyNumberFormat="1" applyFill="1" applyAlignment="1">
      <alignment horizontal="center"/>
    </xf>
    <xf numFmtId="2" fontId="0" fillId="0" borderId="0" xfId="0" applyNumberFormat="1" applyAlignment="1">
      <alignment horizontal="right"/>
    </xf>
    <xf numFmtId="0" fontId="0" fillId="11" borderId="0" xfId="0" applyFill="1"/>
    <xf numFmtId="165" fontId="20" fillId="0" borderId="0" xfId="3" applyNumberFormat="1" applyFont="1" applyAlignment="1">
      <alignment horizontal="center" vertical="center"/>
    </xf>
    <xf numFmtId="0" fontId="0" fillId="0" borderId="0" xfId="0" applyFill="1" applyAlignment="1">
      <alignment horizontal="center"/>
    </xf>
    <xf numFmtId="2" fontId="0" fillId="0" borderId="0" xfId="0" applyNumberFormat="1" applyFont="1" applyAlignment="1">
      <alignment horizontal="center"/>
    </xf>
    <xf numFmtId="0" fontId="0" fillId="0" borderId="0" xfId="0" applyFill="1" applyAlignment="1">
      <alignment horizontal="center"/>
    </xf>
    <xf numFmtId="0" fontId="0" fillId="0" borderId="0" xfId="0" applyAlignment="1">
      <alignment horizontal="center"/>
    </xf>
    <xf numFmtId="0" fontId="6" fillId="0" borderId="0" xfId="0" applyFont="1" applyFill="1" applyAlignment="1">
      <alignment horizontal="center"/>
    </xf>
    <xf numFmtId="0" fontId="0" fillId="0" borderId="0" xfId="0" applyAlignment="1">
      <alignment horizontal="center" vertical="center" wrapText="1"/>
    </xf>
    <xf numFmtId="0" fontId="0" fillId="0" borderId="0" xfId="0" applyFill="1" applyAlignment="1">
      <alignment horizontal="center"/>
    </xf>
    <xf numFmtId="0" fontId="0" fillId="0" borderId="0" xfId="0" applyFill="1" applyAlignment="1">
      <alignment horizontal="center" vertical="center"/>
    </xf>
    <xf numFmtId="0" fontId="0" fillId="0" borderId="0" xfId="0" applyAlignment="1">
      <alignment horizontal="center"/>
    </xf>
    <xf numFmtId="0" fontId="0" fillId="0" borderId="0" xfId="0" applyFill="1" applyAlignment="1">
      <alignment horizontal="center" vertical="center"/>
    </xf>
    <xf numFmtId="1" fontId="0" fillId="0" borderId="0" xfId="0" applyNumberFormat="1" applyFill="1" applyAlignment="1">
      <alignment horizontal="center"/>
    </xf>
    <xf numFmtId="0" fontId="0" fillId="0" borderId="0" xfId="0" applyAlignment="1"/>
    <xf numFmtId="0" fontId="20" fillId="0" borderId="0" xfId="0" applyFont="1" applyAlignment="1">
      <alignment horizontal="center" vertical="center"/>
    </xf>
    <xf numFmtId="1" fontId="0" fillId="0" borderId="0" xfId="0" applyNumberFormat="1" applyAlignment="1">
      <alignment horizontal="center"/>
    </xf>
    <xf numFmtId="0" fontId="0" fillId="0" borderId="0" xfId="0" applyAlignment="1">
      <alignment horizontal="center"/>
    </xf>
    <xf numFmtId="0" fontId="0" fillId="16" borderId="0" xfId="0" applyFill="1"/>
    <xf numFmtId="1" fontId="0" fillId="16" borderId="0" xfId="0" applyNumberFormat="1" applyFill="1"/>
    <xf numFmtId="3" fontId="0" fillId="0" borderId="0" xfId="0" applyNumberFormat="1"/>
    <xf numFmtId="3" fontId="0" fillId="0" borderId="0" xfId="0" applyNumberFormat="1" applyFill="1" applyAlignment="1">
      <alignment horizontal="center"/>
    </xf>
    <xf numFmtId="49" fontId="6" fillId="0" borderId="0" xfId="13" applyNumberFormat="1" applyFont="1"/>
    <xf numFmtId="167" fontId="0" fillId="0" borderId="0" xfId="0" applyNumberFormat="1"/>
    <xf numFmtId="168" fontId="0" fillId="0" borderId="0" xfId="0" applyNumberFormat="1"/>
    <xf numFmtId="0" fontId="0" fillId="0" borderId="0" xfId="0" applyAlignment="1">
      <alignment horizontal="center"/>
    </xf>
    <xf numFmtId="0" fontId="23" fillId="8" borderId="15" xfId="0" applyFont="1" applyFill="1" applyBorder="1" applyAlignment="1">
      <alignment vertical="center" wrapText="1"/>
    </xf>
    <xf numFmtId="0" fontId="24" fillId="8" borderId="15" xfId="0" applyFont="1" applyFill="1" applyBorder="1" applyAlignment="1">
      <alignment vertical="center" wrapText="1"/>
    </xf>
    <xf numFmtId="0" fontId="25" fillId="8" borderId="15" xfId="0" applyFont="1" applyFill="1" applyBorder="1" applyAlignment="1">
      <alignment vertical="center" wrapText="1"/>
    </xf>
    <xf numFmtId="0" fontId="26" fillId="8" borderId="15" xfId="0" applyFont="1" applyFill="1" applyBorder="1" applyAlignment="1">
      <alignment vertical="center" wrapText="1"/>
    </xf>
    <xf numFmtId="0" fontId="12" fillId="21" borderId="0" xfId="0" applyFont="1" applyFill="1" applyAlignment="1">
      <alignment horizontal="left"/>
    </xf>
    <xf numFmtId="0" fontId="27" fillId="22" borderId="6" xfId="0" applyFont="1" applyFill="1" applyBorder="1" applyAlignment="1">
      <alignment vertical="center" wrapText="1"/>
    </xf>
    <xf numFmtId="0" fontId="27" fillId="5" borderId="6" xfId="0" applyFont="1" applyFill="1" applyBorder="1" applyAlignment="1">
      <alignment vertical="center" wrapText="1"/>
    </xf>
    <xf numFmtId="0" fontId="27" fillId="23" borderId="6" xfId="0" applyFont="1" applyFill="1" applyBorder="1" applyAlignment="1">
      <alignment vertical="center" wrapText="1"/>
    </xf>
    <xf numFmtId="0" fontId="27" fillId="24" borderId="6" xfId="0" applyFont="1" applyFill="1" applyBorder="1" applyAlignment="1">
      <alignment vertical="center" wrapText="1"/>
    </xf>
    <xf numFmtId="0" fontId="27" fillId="3" borderId="6" xfId="0" applyFont="1" applyFill="1" applyBorder="1" applyAlignment="1">
      <alignment vertical="center" wrapText="1"/>
    </xf>
    <xf numFmtId="0" fontId="27" fillId="25" borderId="6" xfId="0" applyFont="1" applyFill="1" applyBorder="1" applyAlignment="1">
      <alignment vertical="center" wrapText="1"/>
    </xf>
    <xf numFmtId="0" fontId="27" fillId="26" borderId="6" xfId="0" applyFont="1" applyFill="1" applyBorder="1" applyAlignment="1">
      <alignment vertical="center" wrapText="1"/>
    </xf>
    <xf numFmtId="0" fontId="27" fillId="27" borderId="6" xfId="0" applyFont="1" applyFill="1" applyBorder="1" applyAlignment="1">
      <alignment vertical="center" wrapText="1"/>
    </xf>
    <xf numFmtId="0" fontId="27" fillId="4" borderId="6" xfId="0" applyFont="1" applyFill="1" applyBorder="1" applyAlignment="1">
      <alignment vertical="center" wrapText="1"/>
    </xf>
    <xf numFmtId="0" fontId="27" fillId="19" borderId="6" xfId="0" applyFont="1" applyFill="1" applyBorder="1" applyAlignment="1">
      <alignment vertical="center" wrapText="1"/>
    </xf>
    <xf numFmtId="0" fontId="27" fillId="28" borderId="6" xfId="0" applyFont="1" applyFill="1" applyBorder="1" applyAlignment="1">
      <alignment vertical="center" wrapText="1"/>
    </xf>
    <xf numFmtId="0" fontId="27" fillId="29" borderId="6" xfId="0" applyFont="1" applyFill="1" applyBorder="1" applyAlignment="1">
      <alignment vertical="center" wrapText="1"/>
    </xf>
    <xf numFmtId="0" fontId="9" fillId="9" borderId="0" xfId="19" applyFont="1" applyFill="1" applyAlignment="1">
      <alignment horizontal="left" vertical="center"/>
    </xf>
    <xf numFmtId="0" fontId="9" fillId="9" borderId="0" xfId="19" applyFont="1" applyFill="1" applyAlignment="1">
      <alignment horizontal="left" vertical="center" wrapText="1"/>
    </xf>
    <xf numFmtId="0" fontId="9" fillId="9" borderId="3" xfId="19" applyFont="1" applyFill="1" applyBorder="1" applyAlignment="1">
      <alignment horizontal="center" vertical="center"/>
    </xf>
    <xf numFmtId="0" fontId="9" fillId="9" borderId="3" xfId="19" applyFont="1" applyFill="1" applyBorder="1" applyAlignment="1">
      <alignment horizontal="center" vertical="center" wrapText="1"/>
    </xf>
    <xf numFmtId="0" fontId="9" fillId="9" borderId="0" xfId="19" applyFont="1" applyFill="1" applyAlignment="1">
      <alignment horizontal="center" vertical="center" wrapText="1"/>
    </xf>
    <xf numFmtId="0" fontId="9" fillId="9" borderId="0" xfId="19" applyFont="1" applyFill="1" applyAlignment="1">
      <alignment horizontal="center" vertical="center"/>
    </xf>
    <xf numFmtId="0" fontId="22" fillId="21" borderId="0" xfId="0" applyFont="1" applyFill="1"/>
    <xf numFmtId="0" fontId="27" fillId="30" borderId="6" xfId="0" applyFont="1" applyFill="1" applyBorder="1" applyAlignment="1">
      <alignment vertical="center" wrapText="1"/>
    </xf>
    <xf numFmtId="0" fontId="27" fillId="7" borderId="6" xfId="0" applyFont="1" applyFill="1" applyBorder="1" applyAlignment="1">
      <alignment vertical="center" wrapText="1"/>
    </xf>
    <xf numFmtId="0" fontId="27" fillId="2" borderId="6" xfId="0" applyFont="1" applyFill="1" applyBorder="1" applyAlignment="1">
      <alignment vertical="center" wrapText="1"/>
    </xf>
    <xf numFmtId="0" fontId="9" fillId="21" borderId="0" xfId="0" applyFont="1" applyFill="1"/>
    <xf numFmtId="0" fontId="28" fillId="9" borderId="0" xfId="0" applyFont="1" applyFill="1"/>
    <xf numFmtId="0" fontId="28" fillId="9" borderId="0" xfId="0" applyFont="1" applyFill="1" applyAlignment="1">
      <alignment horizontal="center"/>
    </xf>
    <xf numFmtId="0" fontId="28" fillId="9" borderId="0" xfId="0" applyFont="1" applyFill="1" applyAlignment="1">
      <alignment horizontal="right"/>
    </xf>
    <xf numFmtId="3" fontId="9" fillId="9" borderId="0" xfId="0" applyNumberFormat="1" applyFont="1" applyFill="1"/>
    <xf numFmtId="0" fontId="9" fillId="9" borderId="0" xfId="0" applyFont="1" applyFill="1"/>
    <xf numFmtId="0" fontId="9" fillId="8" borderId="0" xfId="0" applyFont="1" applyFill="1"/>
    <xf numFmtId="169" fontId="0" fillId="8" borderId="0" xfId="0" applyNumberFormat="1" applyFill="1"/>
    <xf numFmtId="0" fontId="9" fillId="13" borderId="0" xfId="0" applyFont="1" applyFill="1"/>
    <xf numFmtId="0" fontId="17" fillId="21" borderId="0" xfId="0" applyFont="1" applyFill="1"/>
    <xf numFmtId="0" fontId="31" fillId="21" borderId="0" xfId="0" applyFont="1" applyFill="1"/>
    <xf numFmtId="0" fontId="6" fillId="11" borderId="0" xfId="0" applyFont="1" applyFill="1"/>
    <xf numFmtId="0" fontId="7" fillId="11" borderId="19" xfId="0" applyFont="1" applyFill="1" applyBorder="1"/>
    <xf numFmtId="0" fontId="0" fillId="6" borderId="0" xfId="0" applyFill="1"/>
    <xf numFmtId="0" fontId="6" fillId="6" borderId="0" xfId="0" applyFont="1" applyFill="1"/>
    <xf numFmtId="9" fontId="0" fillId="8" borderId="0" xfId="0" applyNumberFormat="1" applyFill="1"/>
    <xf numFmtId="0" fontId="28" fillId="16" borderId="0" xfId="0" applyFont="1" applyFill="1"/>
    <xf numFmtId="0" fontId="28" fillId="8" borderId="0" xfId="0" applyFont="1" applyFill="1"/>
    <xf numFmtId="170" fontId="9" fillId="16" borderId="0" xfId="0" applyNumberFormat="1" applyFont="1" applyFill="1"/>
    <xf numFmtId="170" fontId="9" fillId="9" borderId="0" xfId="0" applyNumberFormat="1" applyFont="1" applyFill="1" applyAlignment="1">
      <alignment horizontal="center"/>
    </xf>
    <xf numFmtId="170" fontId="9" fillId="9" borderId="0" xfId="0" applyNumberFormat="1" applyFont="1" applyFill="1"/>
    <xf numFmtId="0" fontId="19" fillId="13" borderId="0" xfId="19" applyFont="1" applyFill="1" applyAlignment="1">
      <alignment horizontal="left" vertical="center" wrapText="1"/>
    </xf>
    <xf numFmtId="0" fontId="32" fillId="13" borderId="0" xfId="0" applyFont="1" applyFill="1" applyAlignment="1"/>
    <xf numFmtId="0" fontId="32" fillId="13" borderId="0" xfId="0" applyFont="1" applyFill="1" applyBorder="1" applyAlignment="1"/>
    <xf numFmtId="0" fontId="32" fillId="11" borderId="0" xfId="0" applyFont="1" applyFill="1" applyAlignment="1">
      <alignment horizontal="center"/>
    </xf>
    <xf numFmtId="0" fontId="32" fillId="11" borderId="0" xfId="0" applyFont="1" applyFill="1" applyBorder="1" applyAlignment="1">
      <alignment horizontal="center"/>
    </xf>
    <xf numFmtId="0" fontId="34" fillId="15" borderId="0" xfId="0" applyFont="1" applyFill="1"/>
    <xf numFmtId="0" fontId="34" fillId="15" borderId="0" xfId="0" applyFont="1" applyFill="1" applyBorder="1"/>
    <xf numFmtId="0" fontId="35" fillId="11" borderId="0" xfId="19" applyFont="1" applyFill="1"/>
    <xf numFmtId="0" fontId="36" fillId="11" borderId="0" xfId="0" applyFont="1" applyFill="1" applyAlignment="1">
      <alignment horizontal="left"/>
    </xf>
    <xf numFmtId="0" fontId="37" fillId="11" borderId="0" xfId="19" applyFont="1" applyFill="1"/>
    <xf numFmtId="0" fontId="34" fillId="11" borderId="0" xfId="0" applyFont="1" applyFill="1"/>
    <xf numFmtId="0" fontId="38" fillId="11" borderId="0" xfId="19" applyFont="1" applyFill="1"/>
    <xf numFmtId="0" fontId="39" fillId="11" borderId="0" xfId="19" applyFont="1" applyFill="1"/>
    <xf numFmtId="0" fontId="34" fillId="11" borderId="0" xfId="0" applyFont="1" applyFill="1" applyBorder="1"/>
    <xf numFmtId="0" fontId="35" fillId="11" borderId="0" xfId="19" applyFont="1" applyFill="1" applyAlignment="1">
      <alignment horizontal="center" vertical="center"/>
    </xf>
    <xf numFmtId="0" fontId="40" fillId="11" borderId="0" xfId="19" applyFont="1" applyFill="1" applyBorder="1" applyAlignment="1">
      <alignment horizontal="center"/>
    </xf>
    <xf numFmtId="0" fontId="41" fillId="11" borderId="0" xfId="0" applyFont="1" applyFill="1" applyBorder="1" applyAlignment="1"/>
    <xf numFmtId="0" fontId="42" fillId="11" borderId="0" xfId="0" applyFont="1" applyFill="1" applyAlignment="1">
      <alignment horizontal="center"/>
    </xf>
    <xf numFmtId="0" fontId="44" fillId="16" borderId="0" xfId="19" applyFont="1" applyFill="1" applyAlignment="1" applyProtection="1">
      <alignment horizontal="center"/>
    </xf>
    <xf numFmtId="0" fontId="44" fillId="11" borderId="0" xfId="19" applyFont="1" applyFill="1" applyAlignment="1" applyProtection="1">
      <alignment horizontal="center"/>
    </xf>
    <xf numFmtId="0" fontId="44" fillId="14" borderId="0" xfId="19" applyFont="1" applyFill="1" applyProtection="1"/>
    <xf numFmtId="0" fontId="45" fillId="14" borderId="0" xfId="19" applyFont="1" applyFill="1" applyProtection="1"/>
    <xf numFmtId="0" fontId="46" fillId="14" borderId="0" xfId="19" applyFont="1" applyFill="1" applyProtection="1"/>
    <xf numFmtId="0" fontId="44" fillId="11" borderId="0" xfId="19" applyFont="1" applyFill="1" applyProtection="1"/>
    <xf numFmtId="0" fontId="34" fillId="11" borderId="0" xfId="0" applyFont="1" applyFill="1" applyBorder="1" applyAlignment="1">
      <alignment vertical="center" wrapText="1"/>
    </xf>
    <xf numFmtId="0" fontId="47" fillId="14" borderId="4" xfId="19" applyFont="1" applyFill="1" applyBorder="1" applyAlignment="1" applyProtection="1">
      <alignment horizontal="center"/>
    </xf>
    <xf numFmtId="0" fontId="47" fillId="14" borderId="4" xfId="19" applyFont="1" applyFill="1" applyBorder="1" applyAlignment="1" applyProtection="1"/>
    <xf numFmtId="0" fontId="48" fillId="14" borderId="0" xfId="19" applyFont="1" applyFill="1" applyBorder="1" applyAlignment="1" applyProtection="1">
      <alignment horizontal="center"/>
    </xf>
    <xf numFmtId="0" fontId="47" fillId="14" borderId="0" xfId="19" applyFont="1" applyFill="1" applyBorder="1" applyAlignment="1" applyProtection="1"/>
    <xf numFmtId="0" fontId="34" fillId="11" borderId="0" xfId="0" applyFont="1" applyFill="1" applyAlignment="1"/>
    <xf numFmtId="0" fontId="48" fillId="14" borderId="0" xfId="19" applyFont="1" applyFill="1" applyProtection="1"/>
    <xf numFmtId="0" fontId="48" fillId="14" borderId="0" xfId="19" applyFont="1" applyFill="1" applyAlignment="1" applyProtection="1"/>
    <xf numFmtId="0" fontId="48" fillId="14" borderId="0" xfId="19" applyFont="1" applyFill="1" applyAlignment="1" applyProtection="1">
      <alignment horizontal="left"/>
    </xf>
    <xf numFmtId="0" fontId="48" fillId="14" borderId="0" xfId="19" applyFont="1" applyFill="1" applyAlignment="1" applyProtection="1">
      <alignment horizontal="center"/>
    </xf>
    <xf numFmtId="0" fontId="48" fillId="14" borderId="0" xfId="19" applyFont="1" applyFill="1" applyAlignment="1" applyProtection="1">
      <alignment horizontal="center" vertical="center"/>
    </xf>
    <xf numFmtId="0" fontId="46" fillId="14" borderId="0" xfId="19" applyFont="1" applyFill="1" applyAlignment="1" applyProtection="1">
      <alignment horizontal="center"/>
    </xf>
    <xf numFmtId="0" fontId="54" fillId="11" borderId="0" xfId="0" applyFont="1" applyFill="1" applyBorder="1" applyAlignment="1" applyProtection="1">
      <protection locked="0"/>
    </xf>
    <xf numFmtId="0" fontId="34" fillId="11" borderId="0" xfId="0" applyFont="1" applyFill="1" applyBorder="1" applyAlignment="1"/>
    <xf numFmtId="3" fontId="52" fillId="11" borderId="0" xfId="0" applyNumberFormat="1" applyFont="1" applyFill="1" applyBorder="1" applyAlignment="1" applyProtection="1">
      <alignment horizontal="center"/>
      <protection locked="0"/>
    </xf>
    <xf numFmtId="2" fontId="52" fillId="11" borderId="0" xfId="0" applyNumberFormat="1" applyFont="1" applyFill="1" applyBorder="1" applyAlignment="1" applyProtection="1">
      <alignment horizontal="center"/>
      <protection locked="0"/>
    </xf>
    <xf numFmtId="170" fontId="52" fillId="11" borderId="0" xfId="0" applyNumberFormat="1" applyFont="1" applyFill="1" applyBorder="1" applyAlignment="1" applyProtection="1">
      <alignment horizontal="center"/>
      <protection locked="0"/>
    </xf>
    <xf numFmtId="0" fontId="35" fillId="11" borderId="0" xfId="19" applyFont="1" applyFill="1" applyBorder="1"/>
    <xf numFmtId="0" fontId="55" fillId="11" borderId="0" xfId="0" applyFont="1" applyFill="1" applyAlignment="1">
      <alignment vertical="center"/>
    </xf>
    <xf numFmtId="0" fontId="55" fillId="11" borderId="0" xfId="0" applyFont="1" applyFill="1" applyAlignment="1">
      <alignment horizontal="center" vertical="center"/>
    </xf>
    <xf numFmtId="3" fontId="34" fillId="11" borderId="0" xfId="0" applyNumberFormat="1" applyFont="1" applyFill="1"/>
    <xf numFmtId="0" fontId="56" fillId="11" borderId="0" xfId="0" applyFont="1" applyFill="1" applyAlignment="1">
      <alignment horizontal="center" vertical="center"/>
    </xf>
    <xf numFmtId="0" fontId="46" fillId="11" borderId="0" xfId="19" applyFont="1" applyFill="1" applyAlignment="1" applyProtection="1">
      <alignment textRotation="90"/>
    </xf>
    <xf numFmtId="0" fontId="47" fillId="11" borderId="0" xfId="19" applyFont="1" applyFill="1" applyBorder="1" applyAlignment="1" applyProtection="1"/>
    <xf numFmtId="0" fontId="47" fillId="14" borderId="0" xfId="19" applyFont="1" applyFill="1" applyBorder="1" applyAlignment="1" applyProtection="1">
      <alignment horizontal="center"/>
    </xf>
    <xf numFmtId="0" fontId="48" fillId="14" borderId="0" xfId="19" applyFont="1" applyFill="1" applyBorder="1" applyAlignment="1" applyProtection="1"/>
    <xf numFmtId="0" fontId="48" fillId="11" borderId="0" xfId="19" applyFont="1" applyFill="1" applyBorder="1" applyAlignment="1" applyProtection="1"/>
    <xf numFmtId="0" fontId="48" fillId="14" borderId="0" xfId="19" applyFont="1" applyFill="1" applyAlignment="1" applyProtection="1">
      <alignment vertical="center"/>
    </xf>
    <xf numFmtId="0" fontId="59" fillId="14" borderId="0" xfId="19" applyFont="1" applyFill="1" applyBorder="1" applyAlignment="1" applyProtection="1"/>
    <xf numFmtId="0" fontId="50" fillId="14" borderId="0" xfId="19" applyFont="1" applyFill="1" applyAlignment="1" applyProtection="1">
      <alignment horizontal="center"/>
    </xf>
    <xf numFmtId="2" fontId="60" fillId="14" borderId="0" xfId="19" applyNumberFormat="1" applyFont="1" applyFill="1" applyBorder="1" applyAlignment="1" applyProtection="1">
      <alignment horizontal="center"/>
    </xf>
    <xf numFmtId="0" fontId="50" fillId="14" borderId="0" xfId="19" applyFont="1" applyFill="1" applyAlignment="1" applyProtection="1"/>
    <xf numFmtId="0" fontId="50" fillId="14" borderId="0" xfId="19" applyFont="1" applyFill="1" applyBorder="1" applyAlignment="1" applyProtection="1"/>
    <xf numFmtId="2" fontId="61" fillId="11" borderId="0" xfId="0" applyNumberFormat="1" applyFont="1" applyFill="1" applyAlignment="1">
      <alignment vertical="center"/>
    </xf>
    <xf numFmtId="0" fontId="61" fillId="11" borderId="0" xfId="0" applyFont="1" applyFill="1" applyAlignment="1">
      <alignment vertical="center"/>
    </xf>
    <xf numFmtId="0" fontId="61" fillId="11" borderId="0" xfId="0" applyFont="1" applyFill="1" applyBorder="1" applyAlignment="1">
      <alignment vertical="center"/>
    </xf>
    <xf numFmtId="3" fontId="60" fillId="14" borderId="0" xfId="19" applyNumberFormat="1" applyFont="1" applyFill="1" applyBorder="1" applyAlignment="1" applyProtection="1">
      <alignment horizontal="center"/>
    </xf>
    <xf numFmtId="0" fontId="64" fillId="11" borderId="0" xfId="0" applyFont="1" applyFill="1" applyAlignment="1">
      <alignment vertical="center" textRotation="180" wrapText="1"/>
    </xf>
    <xf numFmtId="0" fontId="62" fillId="11" borderId="0" xfId="0" applyFont="1" applyFill="1" applyAlignment="1"/>
    <xf numFmtId="0" fontId="54" fillId="11" borderId="0" xfId="0" applyFont="1" applyFill="1" applyAlignment="1"/>
    <xf numFmtId="0" fontId="62" fillId="11" borderId="0" xfId="0" applyFont="1" applyFill="1" applyAlignment="1">
      <alignment horizontal="center"/>
    </xf>
    <xf numFmtId="0" fontId="42" fillId="11" borderId="0" xfId="0" applyFont="1" applyFill="1" applyBorder="1" applyAlignment="1">
      <alignment vertical="center"/>
    </xf>
    <xf numFmtId="0" fontId="34" fillId="11" borderId="0" xfId="0" applyFont="1" applyFill="1" applyAlignment="1">
      <alignment vertical="center"/>
    </xf>
    <xf numFmtId="0" fontId="34" fillId="11" borderId="0" xfId="0" applyFont="1" applyFill="1" applyBorder="1" applyAlignment="1">
      <alignment vertical="center"/>
    </xf>
    <xf numFmtId="2" fontId="54" fillId="11" borderId="0" xfId="0" applyNumberFormat="1" applyFont="1" applyFill="1" applyAlignment="1">
      <alignment vertical="center"/>
    </xf>
    <xf numFmtId="9" fontId="57" fillId="11" borderId="0" xfId="3" applyFont="1" applyFill="1" applyAlignment="1">
      <alignment horizontal="center" vertical="center"/>
    </xf>
    <xf numFmtId="0" fontId="65" fillId="11" borderId="0" xfId="0" applyFont="1" applyFill="1" applyAlignment="1">
      <alignment horizontal="left" vertical="center" wrapText="1"/>
    </xf>
    <xf numFmtId="0" fontId="66" fillId="11" borderId="0" xfId="0" applyFont="1" applyFill="1"/>
    <xf numFmtId="0" fontId="67" fillId="11" borderId="0" xfId="19" applyFont="1" applyFill="1"/>
    <xf numFmtId="0" fontId="68" fillId="9" borderId="0" xfId="19" applyFont="1" applyFill="1" applyAlignment="1">
      <alignment horizontal="left"/>
    </xf>
    <xf numFmtId="0" fontId="68" fillId="9" borderId="0" xfId="19" applyFont="1" applyFill="1" applyAlignment="1">
      <alignment horizontal="center"/>
    </xf>
    <xf numFmtId="0" fontId="68" fillId="9" borderId="0" xfId="0" applyFont="1" applyFill="1"/>
    <xf numFmtId="0" fontId="34" fillId="9" borderId="0" xfId="0" applyFont="1" applyFill="1"/>
    <xf numFmtId="0" fontId="69" fillId="11" borderId="0" xfId="19" applyFont="1" applyFill="1" applyAlignment="1">
      <alignment vertical="center" wrapText="1"/>
    </xf>
    <xf numFmtId="0" fontId="70" fillId="11" borderId="0" xfId="19" applyFont="1" applyFill="1" applyAlignment="1">
      <alignment horizontal="center"/>
    </xf>
    <xf numFmtId="0" fontId="69" fillId="11" borderId="0" xfId="19" applyFont="1" applyFill="1" applyAlignment="1">
      <alignment horizontal="center" vertical="center" wrapText="1"/>
    </xf>
    <xf numFmtId="0" fontId="37" fillId="11" borderId="0" xfId="19" applyFont="1" applyFill="1" applyAlignment="1">
      <alignment horizontal="center"/>
    </xf>
    <xf numFmtId="0" fontId="71" fillId="11" borderId="0" xfId="19" applyFont="1" applyFill="1" applyAlignment="1">
      <alignment horizontal="center"/>
    </xf>
    <xf numFmtId="0" fontId="44" fillId="11" borderId="9" xfId="19" applyFont="1" applyFill="1" applyBorder="1" applyAlignment="1">
      <alignment vertical="center"/>
    </xf>
    <xf numFmtId="0" fontId="72" fillId="11" borderId="9" xfId="19" applyFont="1" applyFill="1" applyBorder="1" applyAlignment="1">
      <alignment vertical="center"/>
    </xf>
    <xf numFmtId="0" fontId="34" fillId="11" borderId="9" xfId="0" applyFont="1" applyFill="1" applyBorder="1"/>
    <xf numFmtId="0" fontId="34" fillId="11" borderId="1" xfId="0" applyFont="1" applyFill="1" applyBorder="1"/>
    <xf numFmtId="0" fontId="44" fillId="11" borderId="1" xfId="19" applyFont="1" applyFill="1" applyBorder="1" applyAlignment="1">
      <alignment vertical="center"/>
    </xf>
    <xf numFmtId="0" fontId="73" fillId="11" borderId="1" xfId="19" applyFont="1" applyFill="1" applyBorder="1" applyAlignment="1">
      <alignment horizontal="center"/>
    </xf>
    <xf numFmtId="0" fontId="50" fillId="11" borderId="1" xfId="19" applyFont="1" applyFill="1" applyBorder="1" applyAlignment="1">
      <alignment horizontal="center"/>
    </xf>
    <xf numFmtId="0" fontId="71" fillId="11" borderId="1" xfId="19" applyFont="1" applyFill="1" applyBorder="1" applyAlignment="1">
      <alignment horizontal="center"/>
    </xf>
    <xf numFmtId="0" fontId="66" fillId="11" borderId="1" xfId="0" applyFont="1" applyFill="1" applyBorder="1"/>
    <xf numFmtId="0" fontId="44" fillId="11" borderId="0" xfId="19" applyFont="1" applyFill="1" applyBorder="1" applyAlignment="1">
      <alignment vertical="center"/>
    </xf>
    <xf numFmtId="0" fontId="72" fillId="11" borderId="0" xfId="19" applyFont="1" applyFill="1" applyBorder="1" applyAlignment="1">
      <alignment vertical="center"/>
    </xf>
    <xf numFmtId="0" fontId="50" fillId="11" borderId="0" xfId="19" applyFont="1" applyFill="1" applyAlignment="1">
      <alignment horizontal="center"/>
    </xf>
    <xf numFmtId="0" fontId="73" fillId="11" borderId="0" xfId="19" applyFont="1" applyFill="1" applyAlignment="1">
      <alignment horizontal="center"/>
    </xf>
    <xf numFmtId="0" fontId="35" fillId="11" borderId="8" xfId="19" applyFont="1" applyFill="1" applyBorder="1" applyAlignment="1">
      <alignment vertical="center"/>
    </xf>
    <xf numFmtId="0" fontId="35" fillId="11" borderId="0" xfId="19" applyFont="1" applyFill="1" applyBorder="1" applyAlignment="1">
      <alignment vertical="center" wrapText="1"/>
    </xf>
    <xf numFmtId="0" fontId="35" fillId="11" borderId="0" xfId="19" applyFont="1" applyFill="1" applyBorder="1" applyAlignment="1">
      <alignment horizontal="left" vertical="center" wrapText="1"/>
    </xf>
    <xf numFmtId="0" fontId="77" fillId="11" borderId="0" xfId="19" applyFont="1" applyFill="1" applyBorder="1" applyAlignment="1">
      <alignment vertical="center" wrapText="1"/>
    </xf>
    <xf numFmtId="0" fontId="35" fillId="11" borderId="2" xfId="19" applyFont="1" applyFill="1" applyBorder="1" applyAlignment="1">
      <alignment vertical="center"/>
    </xf>
    <xf numFmtId="0" fontId="78" fillId="11" borderId="0" xfId="19" applyFont="1" applyFill="1"/>
    <xf numFmtId="0" fontId="35" fillId="11" borderId="0" xfId="19" applyFont="1" applyFill="1" applyAlignment="1">
      <alignment horizontal="center"/>
    </xf>
    <xf numFmtId="0" fontId="80" fillId="11" borderId="0" xfId="19" applyFont="1" applyFill="1"/>
    <xf numFmtId="0" fontId="80" fillId="11" borderId="0" xfId="19" applyFont="1" applyFill="1" applyBorder="1"/>
    <xf numFmtId="0" fontId="35" fillId="11" borderId="0" xfId="19" applyFont="1" applyFill="1" applyBorder="1" applyAlignment="1">
      <alignment horizontal="center" vertical="center"/>
    </xf>
    <xf numFmtId="0" fontId="35" fillId="16" borderId="0" xfId="19" applyFont="1" applyFill="1" applyBorder="1" applyAlignment="1">
      <alignment horizontal="center" vertical="center"/>
    </xf>
    <xf numFmtId="0" fontId="83" fillId="14" borderId="0" xfId="0" applyFont="1" applyFill="1" applyAlignment="1">
      <alignment horizontal="center" vertical="center"/>
    </xf>
    <xf numFmtId="0" fontId="35" fillId="11" borderId="0" xfId="19" applyFont="1" applyFill="1" applyBorder="1" applyAlignment="1">
      <alignment horizontal="center" vertical="center" wrapText="1"/>
    </xf>
    <xf numFmtId="0" fontId="84" fillId="11" borderId="0" xfId="19" applyFont="1" applyFill="1" applyAlignment="1">
      <alignment horizontal="center"/>
    </xf>
    <xf numFmtId="0" fontId="84" fillId="11" borderId="0" xfId="19" applyFont="1" applyFill="1" applyBorder="1" applyAlignment="1">
      <alignment horizontal="center"/>
    </xf>
    <xf numFmtId="0" fontId="35" fillId="16" borderId="0" xfId="19" applyFont="1" applyFill="1" applyAlignment="1">
      <alignment horizontal="center" vertical="center"/>
    </xf>
    <xf numFmtId="0" fontId="69" fillId="11" borderId="0" xfId="19" applyFont="1" applyFill="1"/>
    <xf numFmtId="0" fontId="69" fillId="11" borderId="0" xfId="19" applyFont="1" applyFill="1" applyBorder="1" applyAlignment="1">
      <alignment horizontal="center" vertical="center" wrapText="1"/>
    </xf>
    <xf numFmtId="0" fontId="69" fillId="11" borderId="0" xfId="19" applyFont="1" applyFill="1" applyAlignment="1">
      <alignment horizontal="center"/>
    </xf>
    <xf numFmtId="0" fontId="85" fillId="11" borderId="0" xfId="19" applyFont="1" applyFill="1"/>
    <xf numFmtId="0" fontId="53" fillId="11" borderId="0" xfId="0" applyFont="1" applyFill="1"/>
    <xf numFmtId="0" fontId="33" fillId="15" borderId="0" xfId="19" applyFont="1" applyFill="1" applyAlignment="1">
      <alignment horizontal="left" vertical="center"/>
    </xf>
    <xf numFmtId="0" fontId="88" fillId="11" borderId="0" xfId="0" applyFont="1" applyFill="1" applyBorder="1" applyAlignment="1">
      <alignment vertical="center"/>
    </xf>
    <xf numFmtId="0" fontId="81" fillId="11" borderId="0" xfId="0" applyFont="1" applyFill="1" applyBorder="1" applyAlignment="1">
      <alignment vertical="center"/>
    </xf>
    <xf numFmtId="0" fontId="54" fillId="11" borderId="0" xfId="0" applyFont="1" applyFill="1" applyBorder="1" applyAlignment="1">
      <alignment vertical="center" wrapText="1"/>
    </xf>
    <xf numFmtId="0" fontId="83" fillId="11" borderId="12" xfId="0" applyFont="1" applyFill="1" applyBorder="1" applyAlignment="1">
      <alignment vertical="center" wrapText="1"/>
    </xf>
    <xf numFmtId="0" fontId="92" fillId="11" borderId="0" xfId="0" applyFont="1" applyFill="1" applyAlignment="1">
      <alignment vertical="center" wrapText="1"/>
    </xf>
    <xf numFmtId="0" fontId="74" fillId="11" borderId="0" xfId="0" applyFont="1" applyFill="1" applyAlignment="1">
      <alignment vertical="center"/>
    </xf>
    <xf numFmtId="0" fontId="92" fillId="11" borderId="0" xfId="0" applyFont="1" applyFill="1" applyAlignment="1">
      <alignment horizontal="center" vertical="center" wrapText="1"/>
    </xf>
    <xf numFmtId="0" fontId="92" fillId="11" borderId="0" xfId="0" applyFont="1" applyFill="1" applyAlignment="1">
      <alignment vertical="top" wrapText="1"/>
    </xf>
    <xf numFmtId="0" fontId="34" fillId="11" borderId="0" xfId="0" applyFont="1" applyFill="1" applyAlignment="1">
      <alignment wrapText="1"/>
    </xf>
    <xf numFmtId="0" fontId="34" fillId="11" borderId="2" xfId="0" applyFont="1" applyFill="1" applyBorder="1" applyAlignment="1">
      <alignment vertical="center"/>
    </xf>
    <xf numFmtId="3" fontId="34" fillId="11" borderId="3" xfId="0" applyNumberFormat="1" applyFont="1" applyFill="1" applyBorder="1" applyAlignment="1">
      <alignment horizontal="right" vertical="center" wrapText="1"/>
    </xf>
    <xf numFmtId="3" fontId="34" fillId="11" borderId="0" xfId="0" applyNumberFormat="1" applyFont="1" applyFill="1" applyBorder="1" applyAlignment="1">
      <alignment horizontal="right" vertical="center" wrapText="1"/>
    </xf>
    <xf numFmtId="0" fontId="34" fillId="11" borderId="2" xfId="0" applyFont="1" applyFill="1" applyBorder="1" applyAlignment="1">
      <alignment horizontal="left" vertical="center" wrapText="1"/>
    </xf>
    <xf numFmtId="3" fontId="34" fillId="11" borderId="3" xfId="0" applyNumberFormat="1" applyFont="1" applyFill="1" applyBorder="1" applyAlignment="1">
      <alignment horizontal="center" vertical="center" wrapText="1"/>
    </xf>
    <xf numFmtId="0" fontId="34" fillId="11" borderId="0" xfId="0" applyFont="1" applyFill="1" applyBorder="1" applyAlignment="1">
      <alignment horizontal="left"/>
    </xf>
    <xf numFmtId="0" fontId="81" fillId="11" borderId="0" xfId="0" applyFont="1" applyFill="1" applyAlignment="1">
      <alignment horizontal="center"/>
    </xf>
    <xf numFmtId="0" fontId="34" fillId="13" borderId="0" xfId="0" applyFont="1" applyFill="1" applyProtection="1"/>
    <xf numFmtId="0" fontId="93" fillId="13" borderId="0" xfId="1" applyFont="1" applyFill="1" applyAlignment="1" applyProtection="1"/>
    <xf numFmtId="0" fontId="94" fillId="13" borderId="0" xfId="1" applyFont="1" applyFill="1" applyAlignment="1" applyProtection="1"/>
    <xf numFmtId="0" fontId="93" fillId="9" borderId="0" xfId="1" applyFont="1" applyFill="1" applyAlignment="1" applyProtection="1"/>
    <xf numFmtId="0" fontId="94" fillId="9" borderId="0" xfId="1" applyFont="1" applyFill="1" applyAlignment="1" applyProtection="1"/>
    <xf numFmtId="0" fontId="34" fillId="9" borderId="0" xfId="0" applyFont="1" applyFill="1" applyProtection="1"/>
    <xf numFmtId="0" fontId="94" fillId="9" borderId="0" xfId="1" applyFont="1" applyFill="1" applyAlignment="1" applyProtection="1">
      <alignment horizontal="center"/>
    </xf>
    <xf numFmtId="0" fontId="95" fillId="9" borderId="0" xfId="0" applyFont="1" applyFill="1" applyAlignment="1" applyProtection="1">
      <alignment vertical="center"/>
    </xf>
    <xf numFmtId="0" fontId="96" fillId="11" borderId="4" xfId="0" applyFont="1" applyFill="1" applyBorder="1" applyProtection="1"/>
    <xf numFmtId="0" fontId="97" fillId="11" borderId="4" xfId="0" applyFont="1" applyFill="1" applyBorder="1" applyProtection="1"/>
    <xf numFmtId="0" fontId="42" fillId="9" borderId="0" xfId="0" applyFont="1" applyFill="1" applyProtection="1"/>
    <xf numFmtId="0" fontId="53" fillId="9" borderId="0" xfId="0" applyFont="1" applyFill="1" applyProtection="1"/>
    <xf numFmtId="0" fontId="34" fillId="11" borderId="0" xfId="0" applyFont="1" applyFill="1" applyBorder="1" applyProtection="1"/>
    <xf numFmtId="0" fontId="42" fillId="11" borderId="0" xfId="0" applyFont="1" applyFill="1" applyBorder="1" applyProtection="1"/>
    <xf numFmtId="0" fontId="97" fillId="11" borderId="0" xfId="0" applyFont="1" applyFill="1" applyBorder="1" applyAlignment="1" applyProtection="1">
      <alignment horizontal="left"/>
    </xf>
    <xf numFmtId="0" fontId="98" fillId="11" borderId="0" xfId="0" applyFont="1" applyFill="1" applyBorder="1" applyAlignment="1" applyProtection="1"/>
    <xf numFmtId="0" fontId="97" fillId="32" borderId="0" xfId="0" applyFont="1" applyFill="1" applyBorder="1" applyProtection="1">
      <protection locked="0"/>
    </xf>
    <xf numFmtId="0" fontId="65" fillId="11" borderId="0" xfId="0" applyFont="1" applyFill="1" applyBorder="1" applyProtection="1"/>
    <xf numFmtId="0" fontId="65" fillId="11" borderId="0" xfId="0" applyFont="1" applyFill="1" applyBorder="1" applyAlignment="1" applyProtection="1">
      <alignment horizontal="left"/>
    </xf>
    <xf numFmtId="0" fontId="99" fillId="11" borderId="0" xfId="0" applyFont="1" applyFill="1" applyBorder="1" applyAlignment="1" applyProtection="1">
      <alignment horizontal="left"/>
    </xf>
    <xf numFmtId="0" fontId="34" fillId="9" borderId="0" xfId="0" applyFont="1" applyFill="1" applyAlignment="1" applyProtection="1">
      <alignment vertical="top"/>
    </xf>
    <xf numFmtId="0" fontId="34" fillId="9" borderId="0" xfId="0" applyFont="1" applyFill="1" applyAlignment="1" applyProtection="1">
      <alignment wrapText="1"/>
    </xf>
    <xf numFmtId="0" fontId="44" fillId="9" borderId="0" xfId="0" applyFont="1" applyFill="1" applyProtection="1"/>
    <xf numFmtId="0" fontId="34" fillId="9" borderId="0" xfId="0" applyFont="1" applyFill="1" applyAlignment="1" applyProtection="1">
      <alignment horizontal="right"/>
    </xf>
    <xf numFmtId="0" fontId="35" fillId="13" borderId="0" xfId="19" applyFont="1" applyFill="1"/>
    <xf numFmtId="0" fontId="34" fillId="13" borderId="0" xfId="0" applyFont="1" applyFill="1"/>
    <xf numFmtId="0" fontId="100" fillId="13" borderId="0" xfId="19" applyFont="1" applyFill="1" applyAlignment="1">
      <alignment horizontal="left" vertical="center" wrapText="1"/>
    </xf>
    <xf numFmtId="0" fontId="35" fillId="14" borderId="0" xfId="19" applyFont="1" applyFill="1"/>
    <xf numFmtId="0" fontId="34" fillId="14" borderId="0" xfId="0" applyFont="1" applyFill="1"/>
    <xf numFmtId="0" fontId="35" fillId="15" borderId="0" xfId="19" applyFont="1" applyFill="1"/>
    <xf numFmtId="0" fontId="33" fillId="11" borderId="0" xfId="19" applyFont="1" applyFill="1" applyAlignment="1">
      <alignment horizontal="left" vertical="center"/>
    </xf>
    <xf numFmtId="0" fontId="101" fillId="14" borderId="0" xfId="19" applyFont="1" applyFill="1"/>
    <xf numFmtId="0" fontId="101" fillId="11" borderId="0" xfId="19" applyFont="1" applyFill="1"/>
    <xf numFmtId="0" fontId="102" fillId="14" borderId="0" xfId="19" applyFont="1" applyFill="1" applyAlignment="1">
      <alignment horizontal="center"/>
    </xf>
    <xf numFmtId="0" fontId="102" fillId="15" borderId="0" xfId="19" applyFont="1" applyFill="1" applyAlignment="1">
      <alignment horizontal="center"/>
    </xf>
    <xf numFmtId="0" fontId="74" fillId="15" borderId="0" xfId="18" applyFont="1" applyFill="1" applyBorder="1" applyAlignment="1" applyProtection="1">
      <alignment horizontal="center"/>
      <protection locked="0"/>
    </xf>
    <xf numFmtId="0" fontId="35" fillId="14" borderId="0" xfId="19" applyFont="1" applyFill="1" applyAlignment="1"/>
    <xf numFmtId="0" fontId="103" fillId="14" borderId="0" xfId="19" applyFont="1" applyFill="1" applyAlignment="1">
      <alignment horizontal="center"/>
    </xf>
    <xf numFmtId="0" fontId="103" fillId="15" borderId="0" xfId="19" applyFont="1" applyFill="1" applyAlignment="1">
      <alignment horizontal="center"/>
    </xf>
    <xf numFmtId="0" fontId="35" fillId="11" borderId="0" xfId="19" applyFont="1" applyFill="1" applyBorder="1" applyAlignment="1"/>
    <xf numFmtId="0" fontId="74" fillId="14" borderId="0" xfId="0" applyFont="1" applyFill="1" applyBorder="1" applyAlignment="1" applyProtection="1">
      <alignment horizontal="center"/>
      <protection locked="0"/>
    </xf>
    <xf numFmtId="0" fontId="103" fillId="14" borderId="0" xfId="19" applyFont="1" applyFill="1" applyBorder="1" applyAlignment="1">
      <alignment horizontal="center" vertical="center"/>
    </xf>
    <xf numFmtId="0" fontId="35" fillId="14" borderId="0" xfId="19" applyFont="1" applyFill="1" applyBorder="1" applyAlignment="1" applyProtection="1">
      <alignment horizontal="center"/>
      <protection locked="0"/>
    </xf>
    <xf numFmtId="0" fontId="54" fillId="14" borderId="0" xfId="19" applyFont="1" applyFill="1" applyBorder="1" applyProtection="1"/>
    <xf numFmtId="0" fontId="54" fillId="14" borderId="0" xfId="19" applyFont="1" applyFill="1" applyBorder="1" applyAlignment="1" applyProtection="1">
      <alignment horizontal="center"/>
    </xf>
    <xf numFmtId="0" fontId="104" fillId="14" borderId="0" xfId="0" applyFont="1" applyFill="1" applyBorder="1" applyAlignment="1" applyProtection="1">
      <alignment horizontal="right"/>
    </xf>
    <xf numFmtId="0" fontId="104" fillId="14" borderId="0" xfId="0" applyFont="1" applyFill="1" applyBorder="1" applyProtection="1"/>
    <xf numFmtId="0" fontId="104" fillId="14" borderId="0" xfId="0" applyFont="1" applyFill="1" applyBorder="1" applyAlignment="1" applyProtection="1">
      <alignment horizontal="center"/>
    </xf>
    <xf numFmtId="0" fontId="104" fillId="14" borderId="0" xfId="0" applyFont="1" applyFill="1"/>
    <xf numFmtId="0" fontId="92" fillId="14" borderId="0" xfId="0" applyFont="1" applyFill="1"/>
    <xf numFmtId="0" fontId="105" fillId="14" borderId="0" xfId="0" applyFont="1" applyFill="1" applyBorder="1" applyProtection="1"/>
    <xf numFmtId="0" fontId="49" fillId="14" borderId="0" xfId="0" applyFont="1" applyFill="1" applyBorder="1" applyProtection="1"/>
    <xf numFmtId="0" fontId="42" fillId="14" borderId="0" xfId="0" applyFont="1" applyFill="1" applyBorder="1" applyProtection="1"/>
    <xf numFmtId="0" fontId="42" fillId="14" borderId="0" xfId="0" applyFont="1" applyFill="1" applyBorder="1" applyAlignment="1" applyProtection="1">
      <alignment horizontal="center"/>
    </xf>
    <xf numFmtId="0" fontId="92" fillId="11" borderId="0" xfId="0" applyFont="1" applyFill="1"/>
    <xf numFmtId="0" fontId="74" fillId="11" borderId="0" xfId="18" applyFont="1" applyFill="1" applyBorder="1" applyAlignment="1" applyProtection="1">
      <alignment horizontal="center"/>
      <protection locked="0"/>
    </xf>
    <xf numFmtId="0" fontId="74" fillId="11" borderId="0" xfId="18" applyFont="1" applyFill="1" applyBorder="1" applyAlignment="1" applyProtection="1">
      <alignment horizontal="left"/>
      <protection locked="0"/>
    </xf>
    <xf numFmtId="0" fontId="34" fillId="14" borderId="0" xfId="0" applyFont="1" applyFill="1" applyAlignment="1">
      <alignment horizontal="left"/>
    </xf>
    <xf numFmtId="0" fontId="102" fillId="15" borderId="0" xfId="19" applyFont="1" applyFill="1" applyAlignment="1">
      <alignment horizontal="left"/>
    </xf>
    <xf numFmtId="0" fontId="74" fillId="15" borderId="0" xfId="18" applyFont="1" applyFill="1" applyBorder="1" applyAlignment="1" applyProtection="1">
      <alignment horizontal="left"/>
      <protection locked="0"/>
    </xf>
    <xf numFmtId="0" fontId="35" fillId="15" borderId="0" xfId="19" applyFont="1" applyFill="1" applyAlignment="1">
      <alignment horizontal="left"/>
    </xf>
    <xf numFmtId="0" fontId="34" fillId="11" borderId="0" xfId="0" applyFont="1" applyFill="1" applyAlignment="1">
      <alignment horizontal="left"/>
    </xf>
    <xf numFmtId="0" fontId="45" fillId="14" borderId="0" xfId="19" applyFont="1" applyFill="1" applyAlignment="1" applyProtection="1"/>
    <xf numFmtId="0" fontId="103" fillId="15" borderId="0" xfId="19" applyFont="1" applyFill="1" applyAlignment="1">
      <alignment horizontal="left"/>
    </xf>
    <xf numFmtId="0" fontId="106" fillId="9" borderId="0" xfId="0" applyFont="1" applyFill="1" applyBorder="1" applyAlignment="1" applyProtection="1">
      <protection locked="0"/>
    </xf>
    <xf numFmtId="0" fontId="35" fillId="14" borderId="0" xfId="19" applyFont="1" applyFill="1" applyProtection="1"/>
    <xf numFmtId="0" fontId="54" fillId="14" borderId="0" xfId="0" applyFont="1" applyFill="1" applyBorder="1" applyAlignment="1" applyProtection="1"/>
    <xf numFmtId="0" fontId="34" fillId="14" borderId="0" xfId="0" applyFont="1" applyFill="1" applyProtection="1"/>
    <xf numFmtId="0" fontId="54" fillId="15" borderId="0" xfId="0" applyFont="1" applyFill="1" applyBorder="1" applyAlignment="1" applyProtection="1">
      <alignment horizontal="left"/>
    </xf>
    <xf numFmtId="0" fontId="35" fillId="14" borderId="0" xfId="19" applyFont="1" applyFill="1" applyAlignment="1" applyProtection="1">
      <alignment horizontal="left"/>
    </xf>
    <xf numFmtId="0" fontId="101" fillId="14" borderId="0" xfId="19" applyFont="1" applyFill="1" applyProtection="1"/>
    <xf numFmtId="0" fontId="92" fillId="14" borderId="0" xfId="19" applyFont="1" applyFill="1" applyBorder="1" applyAlignment="1" applyProtection="1">
      <alignment vertical="center"/>
    </xf>
    <xf numFmtId="0" fontId="34" fillId="14" borderId="0" xfId="19" applyFont="1" applyFill="1" applyAlignment="1" applyProtection="1">
      <alignment horizontal="center"/>
    </xf>
    <xf numFmtId="0" fontId="34" fillId="14" borderId="0" xfId="19" applyFont="1" applyFill="1" applyBorder="1" applyAlignment="1" applyProtection="1">
      <alignment horizontal="center"/>
    </xf>
    <xf numFmtId="0" fontId="35" fillId="14" borderId="0" xfId="19" applyFont="1" applyFill="1" applyAlignment="1">
      <alignment horizontal="left" wrapText="1"/>
    </xf>
    <xf numFmtId="0" fontId="35" fillId="14" borderId="0" xfId="19" applyFont="1" applyFill="1" applyAlignment="1">
      <alignment horizontal="left"/>
    </xf>
    <xf numFmtId="0" fontId="34" fillId="0" borderId="0" xfId="0" applyFont="1" applyFill="1" applyAlignment="1">
      <alignment horizontal="left"/>
    </xf>
    <xf numFmtId="0" fontId="35" fillId="11" borderId="0" xfId="19" applyFont="1" applyFill="1" applyBorder="1" applyAlignment="1">
      <alignment horizontal="left"/>
    </xf>
    <xf numFmtId="0" fontId="44" fillId="16" borderId="0" xfId="19" applyFont="1" applyFill="1" applyAlignment="1">
      <alignment vertical="center"/>
    </xf>
    <xf numFmtId="0" fontId="43" fillId="15" borderId="0" xfId="19" applyFont="1" applyFill="1" applyAlignment="1">
      <alignment horizontal="center" vertical="center"/>
    </xf>
    <xf numFmtId="0" fontId="107" fillId="15" borderId="0" xfId="19" applyFont="1" applyFill="1" applyAlignment="1">
      <alignment horizontal="center" wrapText="1"/>
    </xf>
    <xf numFmtId="0" fontId="43" fillId="11" borderId="0" xfId="19" applyFont="1" applyFill="1" applyAlignment="1">
      <alignment horizontal="center" vertical="center"/>
    </xf>
    <xf numFmtId="0" fontId="43" fillId="11" borderId="0" xfId="18" applyFont="1" applyFill="1" applyBorder="1" applyAlignment="1" applyProtection="1">
      <alignment horizontal="center" vertical="center"/>
      <protection locked="0"/>
    </xf>
    <xf numFmtId="0" fontId="74" fillId="14" borderId="0" xfId="19" applyFont="1" applyFill="1" applyBorder="1" applyAlignment="1">
      <alignment horizontal="left" vertical="center" wrapText="1"/>
    </xf>
    <xf numFmtId="0" fontId="34" fillId="14" borderId="0" xfId="0" applyFont="1" applyFill="1" applyAlignment="1">
      <alignment horizontal="center" vertical="center"/>
    </xf>
    <xf numFmtId="0" fontId="74" fillId="15" borderId="0" xfId="19" applyFont="1" applyFill="1" applyBorder="1" applyAlignment="1">
      <alignment horizontal="left" vertical="center" wrapText="1"/>
    </xf>
    <xf numFmtId="0" fontId="34" fillId="15" borderId="0" xfId="0" applyFont="1" applyFill="1" applyAlignment="1">
      <alignment horizontal="center" vertical="center"/>
    </xf>
    <xf numFmtId="0" fontId="74" fillId="15" borderId="0" xfId="19" applyFont="1" applyFill="1" applyBorder="1" applyAlignment="1">
      <alignment horizontal="left"/>
    </xf>
    <xf numFmtId="0" fontId="35" fillId="15" borderId="0" xfId="19" applyFont="1" applyFill="1" applyAlignment="1" applyProtection="1">
      <alignment horizontal="center" vertical="center"/>
    </xf>
    <xf numFmtId="0" fontId="35" fillId="14" borderId="0" xfId="19" applyFont="1" applyFill="1" applyAlignment="1" applyProtection="1">
      <alignment horizontal="center" vertical="center"/>
    </xf>
    <xf numFmtId="0" fontId="74" fillId="15" borderId="0" xfId="19" applyFont="1" applyFill="1" applyBorder="1" applyAlignment="1">
      <alignment horizontal="left" vertical="center"/>
    </xf>
    <xf numFmtId="0" fontId="103" fillId="11" borderId="0" xfId="18" applyFont="1" applyFill="1" applyBorder="1" applyAlignment="1" applyProtection="1">
      <alignment horizontal="center" vertical="top" wrapText="1"/>
      <protection locked="0"/>
    </xf>
    <xf numFmtId="0" fontId="34" fillId="11" borderId="0" xfId="0" applyFont="1" applyFill="1" applyAlignment="1">
      <alignment horizontal="center" vertical="center"/>
    </xf>
    <xf numFmtId="0" fontId="103" fillId="11" borderId="0" xfId="18" applyFont="1" applyFill="1" applyBorder="1" applyAlignment="1" applyProtection="1">
      <alignment horizontal="center" vertical="center" wrapText="1"/>
      <protection locked="0"/>
    </xf>
    <xf numFmtId="2" fontId="103" fillId="14" borderId="0" xfId="18" applyNumberFormat="1" applyFont="1" applyFill="1" applyBorder="1" applyAlignment="1" applyProtection="1">
      <alignment vertical="center"/>
      <protection locked="0"/>
    </xf>
    <xf numFmtId="0" fontId="35" fillId="11" borderId="0" xfId="19" applyFont="1" applyFill="1" applyBorder="1" applyAlignment="1">
      <alignment vertical="center"/>
    </xf>
    <xf numFmtId="0" fontId="35" fillId="11" borderId="0" xfId="19" applyFont="1" applyFill="1" applyAlignment="1">
      <alignment vertical="center"/>
    </xf>
    <xf numFmtId="0" fontId="108" fillId="14" borderId="0" xfId="19" applyFont="1" applyFill="1" applyBorder="1" applyAlignment="1">
      <alignment horizontal="center"/>
    </xf>
    <xf numFmtId="0" fontId="74" fillId="15" borderId="0" xfId="18" applyFont="1" applyFill="1" applyBorder="1" applyAlignment="1" applyProtection="1">
      <alignment horizontal="center" vertical="center"/>
      <protection locked="0"/>
    </xf>
    <xf numFmtId="2" fontId="103" fillId="11" borderId="0" xfId="18" applyNumberFormat="1" applyFont="1" applyFill="1" applyBorder="1" applyAlignment="1" applyProtection="1">
      <alignment horizontal="center" vertical="center"/>
      <protection locked="0"/>
    </xf>
    <xf numFmtId="0" fontId="74" fillId="11" borderId="0" xfId="18" applyFont="1" applyFill="1" applyBorder="1" applyAlignment="1" applyProtection="1">
      <protection locked="0"/>
    </xf>
    <xf numFmtId="0" fontId="74" fillId="11" borderId="0" xfId="18" applyFont="1" applyFill="1" applyBorder="1" applyAlignment="1" applyProtection="1">
      <alignment horizontal="left" wrapText="1"/>
      <protection locked="0"/>
    </xf>
    <xf numFmtId="0" fontId="102" fillId="15" borderId="0" xfId="19" applyFont="1" applyFill="1" applyAlignment="1">
      <alignment horizontal="center" vertical="center"/>
    </xf>
    <xf numFmtId="0" fontId="102" fillId="14" borderId="0" xfId="19" applyFont="1" applyFill="1" applyAlignment="1">
      <alignment horizontal="center" vertical="center"/>
    </xf>
    <xf numFmtId="0" fontId="103" fillId="14" borderId="0" xfId="19" applyFont="1" applyFill="1" applyAlignment="1">
      <alignment horizontal="center" vertical="center"/>
    </xf>
    <xf numFmtId="0" fontId="6" fillId="15" borderId="0" xfId="0" applyFont="1" applyFill="1"/>
    <xf numFmtId="0" fontId="101" fillId="15" borderId="0" xfId="0" applyFont="1" applyFill="1"/>
    <xf numFmtId="0" fontId="109" fillId="15" borderId="0" xfId="0" applyFont="1" applyFill="1"/>
    <xf numFmtId="0" fontId="111" fillId="15" borderId="0" xfId="0" applyFont="1" applyFill="1"/>
    <xf numFmtId="0" fontId="112" fillId="15" borderId="0" xfId="0" applyFont="1" applyFill="1"/>
    <xf numFmtId="0" fontId="113" fillId="15" borderId="0" xfId="0" applyFont="1" applyFill="1" applyAlignment="1">
      <alignment vertical="center"/>
    </xf>
    <xf numFmtId="0" fontId="27" fillId="27" borderId="0" xfId="0" applyFont="1" applyFill="1" applyBorder="1" applyAlignment="1">
      <alignment vertical="center" wrapText="1"/>
    </xf>
    <xf numFmtId="0" fontId="52" fillId="11" borderId="0" xfId="0" applyFont="1" applyFill="1" applyAlignment="1">
      <alignment horizontal="center"/>
    </xf>
    <xf numFmtId="0" fontId="34" fillId="11" borderId="0" xfId="0" applyFont="1" applyFill="1" applyAlignment="1">
      <alignment horizontal="center"/>
    </xf>
    <xf numFmtId="0" fontId="114" fillId="11" borderId="0" xfId="0" applyFont="1" applyFill="1" applyAlignment="1">
      <alignment horizontal="center"/>
    </xf>
    <xf numFmtId="0" fontId="54" fillId="11" borderId="0" xfId="0" applyFont="1" applyFill="1" applyAlignment="1">
      <alignment horizontal="center"/>
    </xf>
    <xf numFmtId="3" fontId="52" fillId="11" borderId="0" xfId="0" applyNumberFormat="1" applyFont="1" applyFill="1" applyAlignment="1" applyProtection="1">
      <alignment horizontal="center"/>
    </xf>
    <xf numFmtId="0" fontId="54" fillId="11" borderId="0" xfId="0" applyFont="1" applyFill="1" applyBorder="1" applyAlignment="1"/>
    <xf numFmtId="166" fontId="52" fillId="11" borderId="0" xfId="0" applyNumberFormat="1" applyFont="1" applyFill="1" applyAlignment="1" applyProtection="1">
      <alignment horizontal="center"/>
    </xf>
    <xf numFmtId="0" fontId="52" fillId="11" borderId="0" xfId="0" applyFont="1" applyFill="1" applyAlignment="1"/>
    <xf numFmtId="2" fontId="52" fillId="11" borderId="0" xfId="0" applyNumberFormat="1" applyFont="1" applyFill="1" applyAlignment="1">
      <alignment horizontal="center"/>
    </xf>
    <xf numFmtId="169" fontId="54" fillId="11" borderId="0" xfId="0" applyNumberFormat="1" applyFont="1" applyFill="1" applyBorder="1" applyAlignment="1"/>
    <xf numFmtId="169" fontId="54" fillId="11" borderId="0" xfId="0" applyNumberFormat="1" applyFont="1" applyFill="1" applyAlignment="1"/>
    <xf numFmtId="3" fontId="52" fillId="11" borderId="0" xfId="0" applyNumberFormat="1" applyFont="1" applyFill="1" applyAlignment="1">
      <alignment horizontal="center"/>
    </xf>
    <xf numFmtId="166" fontId="52" fillId="11" borderId="0" xfId="0" applyNumberFormat="1" applyFont="1" applyFill="1" applyAlignment="1">
      <alignment horizontal="center"/>
    </xf>
    <xf numFmtId="0" fontId="114" fillId="14" borderId="0" xfId="0" applyFont="1" applyFill="1" applyAlignment="1">
      <alignment horizontal="center"/>
    </xf>
    <xf numFmtId="0" fontId="34" fillId="11" borderId="0" xfId="0" applyFont="1" applyFill="1" applyBorder="1" applyAlignment="1">
      <alignment horizontal="center"/>
    </xf>
    <xf numFmtId="0" fontId="34" fillId="11" borderId="16" xfId="0" applyFont="1" applyFill="1" applyBorder="1" applyAlignment="1">
      <alignment horizontal="center"/>
    </xf>
    <xf numFmtId="2" fontId="34" fillId="11" borderId="0" xfId="0" applyNumberFormat="1" applyFont="1" applyFill="1" applyAlignment="1">
      <alignment horizontal="center"/>
    </xf>
    <xf numFmtId="0" fontId="34" fillId="11" borderId="0" xfId="0" applyFont="1" applyFill="1" applyAlignment="1">
      <alignment horizontal="center" wrapText="1"/>
    </xf>
    <xf numFmtId="9" fontId="57" fillId="15" borderId="0" xfId="3" applyFont="1" applyFill="1" applyAlignment="1">
      <alignment horizontal="center"/>
    </xf>
    <xf numFmtId="9" fontId="57" fillId="13" borderId="0" xfId="3" applyFont="1" applyFill="1" applyAlignment="1">
      <alignment horizontal="center"/>
    </xf>
    <xf numFmtId="2" fontId="54" fillId="11" borderId="0" xfId="0" applyNumberFormat="1" applyFont="1" applyFill="1" applyAlignment="1">
      <alignment horizontal="center"/>
    </xf>
    <xf numFmtId="0" fontId="110" fillId="33" borderId="0" xfId="0" applyFont="1" applyFill="1" applyAlignment="1">
      <alignment horizontal="center"/>
    </xf>
    <xf numFmtId="0" fontId="110" fillId="33" borderId="0" xfId="1" applyFont="1" applyFill="1" applyAlignment="1" applyProtection="1">
      <alignment horizontal="center"/>
    </xf>
    <xf numFmtId="0" fontId="19" fillId="13" borderId="0" xfId="19" applyFont="1" applyFill="1" applyAlignment="1">
      <alignment horizontal="left" vertical="center" wrapText="1"/>
    </xf>
    <xf numFmtId="0" fontId="63" fillId="31" borderId="0" xfId="0" applyFont="1" applyFill="1" applyAlignment="1">
      <alignment horizontal="left" vertical="center" textRotation="180" wrapText="1"/>
    </xf>
    <xf numFmtId="2" fontId="62" fillId="11" borderId="17" xfId="0" applyNumberFormat="1" applyFont="1" applyFill="1" applyBorder="1" applyAlignment="1">
      <alignment horizontal="center" vertical="center"/>
    </xf>
    <xf numFmtId="0" fontId="46" fillId="14" borderId="0" xfId="19" applyFont="1" applyFill="1" applyAlignment="1" applyProtection="1">
      <alignment horizontal="center"/>
    </xf>
    <xf numFmtId="0" fontId="65" fillId="11" borderId="0" xfId="0" applyFont="1" applyFill="1" applyAlignment="1">
      <alignment horizontal="center" wrapText="1"/>
    </xf>
    <xf numFmtId="0" fontId="65" fillId="11" borderId="0" xfId="0" applyFont="1" applyFill="1" applyAlignment="1">
      <alignment horizontal="left" vertical="center" wrapText="1"/>
    </xf>
    <xf numFmtId="0" fontId="35" fillId="11" borderId="8" xfId="19" applyFont="1" applyFill="1" applyBorder="1" applyAlignment="1">
      <alignment horizontal="center" vertical="center"/>
    </xf>
    <xf numFmtId="3" fontId="74" fillId="16" borderId="0" xfId="0" applyNumberFormat="1" applyFont="1" applyFill="1" applyAlignment="1">
      <alignment horizontal="center" vertical="center"/>
    </xf>
    <xf numFmtId="0" fontId="35" fillId="11" borderId="3" xfId="19" applyFont="1" applyFill="1" applyBorder="1" applyAlignment="1">
      <alignment horizontal="left" vertical="center" wrapText="1"/>
    </xf>
    <xf numFmtId="0" fontId="35" fillId="11" borderId="0" xfId="19" applyFont="1" applyFill="1" applyBorder="1" applyAlignment="1">
      <alignment horizontal="left" vertical="center" wrapText="1"/>
    </xf>
    <xf numFmtId="0" fontId="35" fillId="16" borderId="0" xfId="19" applyFont="1" applyFill="1" applyBorder="1" applyAlignment="1">
      <alignment horizontal="center" vertical="center" wrapText="1"/>
    </xf>
    <xf numFmtId="0" fontId="35" fillId="11" borderId="0" xfId="19" applyFont="1" applyFill="1" applyAlignment="1">
      <alignment horizontal="left" vertical="center" wrapText="1"/>
    </xf>
    <xf numFmtId="0" fontId="74" fillId="16" borderId="0" xfId="0" applyFont="1" applyFill="1" applyAlignment="1">
      <alignment horizontal="center" vertical="center"/>
    </xf>
    <xf numFmtId="0" fontId="81" fillId="11" borderId="0" xfId="0" applyFont="1" applyFill="1" applyAlignment="1">
      <alignment horizontal="center" wrapText="1"/>
    </xf>
    <xf numFmtId="0" fontId="81" fillId="11" borderId="0" xfId="19" applyFont="1" applyFill="1" applyBorder="1" applyAlignment="1">
      <alignment horizontal="center" wrapText="1"/>
    </xf>
    <xf numFmtId="0" fontId="81" fillId="11" borderId="1" xfId="19" applyFont="1" applyFill="1" applyBorder="1" applyAlignment="1">
      <alignment horizontal="center" wrapText="1"/>
    </xf>
    <xf numFmtId="0" fontId="51" fillId="10" borderId="0" xfId="0" applyFont="1" applyFill="1" applyAlignment="1">
      <alignment horizontal="center" vertical="center" textRotation="180"/>
    </xf>
    <xf numFmtId="0" fontId="58" fillId="14" borderId="0" xfId="19" applyFont="1" applyFill="1" applyBorder="1" applyAlignment="1" applyProtection="1">
      <alignment horizontal="center"/>
    </xf>
    <xf numFmtId="0" fontId="58" fillId="14" borderId="4" xfId="19" applyFont="1" applyFill="1" applyBorder="1" applyAlignment="1" applyProtection="1">
      <alignment horizontal="center"/>
    </xf>
    <xf numFmtId="0" fontId="49" fillId="11" borderId="5" xfId="0" applyFont="1" applyFill="1" applyBorder="1" applyAlignment="1">
      <alignment horizontal="center"/>
    </xf>
    <xf numFmtId="0" fontId="50" fillId="14" borderId="0" xfId="19" applyFont="1" applyFill="1" applyAlignment="1" applyProtection="1">
      <alignment horizontal="center"/>
    </xf>
    <xf numFmtId="3" fontId="60" fillId="14" borderId="0" xfId="19" applyNumberFormat="1" applyFont="1" applyFill="1" applyBorder="1" applyAlignment="1" applyProtection="1">
      <alignment horizontal="center"/>
    </xf>
    <xf numFmtId="0" fontId="52" fillId="11" borderId="0" xfId="0" applyFont="1" applyFill="1" applyAlignment="1">
      <alignment horizontal="center"/>
    </xf>
    <xf numFmtId="0" fontId="47" fillId="14" borderId="4" xfId="19" applyFont="1" applyFill="1" applyBorder="1" applyAlignment="1" applyProtection="1">
      <alignment horizontal="center"/>
    </xf>
    <xf numFmtId="0" fontId="48" fillId="14" borderId="0" xfId="19" applyFont="1" applyFill="1" applyAlignment="1" applyProtection="1">
      <alignment horizontal="center"/>
    </xf>
    <xf numFmtId="0" fontId="50" fillId="14" borderId="0" xfId="19" applyFont="1" applyFill="1" applyBorder="1" applyAlignment="1" applyProtection="1">
      <alignment horizontal="center"/>
    </xf>
    <xf numFmtId="0" fontId="51" fillId="15" borderId="0" xfId="0" applyFont="1" applyFill="1" applyAlignment="1">
      <alignment horizontal="center" vertical="center" textRotation="180"/>
    </xf>
    <xf numFmtId="165" fontId="57" fillId="15" borderId="0" xfId="3" applyNumberFormat="1" applyFont="1" applyFill="1" applyAlignment="1">
      <alignment horizontal="center"/>
    </xf>
    <xf numFmtId="0" fontId="52" fillId="11" borderId="0" xfId="0" applyFont="1" applyFill="1" applyAlignment="1" applyProtection="1">
      <alignment horizontal="center"/>
    </xf>
    <xf numFmtId="9" fontId="35" fillId="16" borderId="0" xfId="3" applyFont="1" applyFill="1" applyBorder="1" applyAlignment="1">
      <alignment horizontal="center" vertical="center" wrapText="1"/>
    </xf>
    <xf numFmtId="2" fontId="60" fillId="14" borderId="0" xfId="19" applyNumberFormat="1" applyFont="1" applyFill="1" applyBorder="1" applyAlignment="1" applyProtection="1">
      <alignment horizontal="center"/>
    </xf>
    <xf numFmtId="0" fontId="33" fillId="15" borderId="0" xfId="19" applyFont="1" applyFill="1" applyAlignment="1">
      <alignment horizontal="left" vertical="center"/>
    </xf>
    <xf numFmtId="9" fontId="57" fillId="15" borderId="0" xfId="3" applyFont="1" applyFill="1" applyAlignment="1">
      <alignment horizontal="center"/>
    </xf>
    <xf numFmtId="9" fontId="57" fillId="13" borderId="0" xfId="3" applyFont="1" applyFill="1" applyAlignment="1">
      <alignment horizontal="center"/>
    </xf>
    <xf numFmtId="0" fontId="62" fillId="11" borderId="0" xfId="0" applyFont="1" applyFill="1" applyAlignment="1">
      <alignment horizontal="center"/>
    </xf>
    <xf numFmtId="0" fontId="47" fillId="11" borderId="0" xfId="19" applyFont="1" applyFill="1" applyBorder="1" applyAlignment="1">
      <alignment horizontal="center" vertical="center" wrapText="1"/>
    </xf>
    <xf numFmtId="0" fontId="69" fillId="11" borderId="0" xfId="19" applyFont="1" applyFill="1" applyBorder="1" applyAlignment="1">
      <alignment horizontal="left" vertical="center" wrapText="1"/>
    </xf>
    <xf numFmtId="0" fontId="35" fillId="11" borderId="0" xfId="19" applyFont="1" applyFill="1" applyAlignment="1">
      <alignment horizontal="center"/>
    </xf>
    <xf numFmtId="0" fontId="74" fillId="11" borderId="10" xfId="19" applyFont="1" applyFill="1" applyBorder="1" applyAlignment="1">
      <alignment horizontal="left" vertical="center" wrapText="1"/>
    </xf>
    <xf numFmtId="0" fontId="74" fillId="11" borderId="0" xfId="19" applyFont="1" applyFill="1" applyBorder="1" applyAlignment="1">
      <alignment horizontal="left" vertical="center" wrapText="1"/>
    </xf>
    <xf numFmtId="0" fontId="35" fillId="11" borderId="10" xfId="19" applyFont="1" applyFill="1" applyBorder="1" applyAlignment="1">
      <alignment horizontal="left" vertical="center" wrapText="1"/>
    </xf>
    <xf numFmtId="0" fontId="40" fillId="11" borderId="4" xfId="19" applyFont="1" applyFill="1" applyBorder="1" applyAlignment="1">
      <alignment horizontal="center"/>
    </xf>
    <xf numFmtId="0" fontId="48" fillId="14" borderId="0" xfId="19" applyFont="1" applyFill="1" applyBorder="1" applyAlignment="1" applyProtection="1">
      <alignment horizontal="center"/>
    </xf>
    <xf numFmtId="0" fontId="48" fillId="14" borderId="5" xfId="19" applyFont="1" applyFill="1" applyBorder="1" applyAlignment="1" applyProtection="1">
      <alignment horizontal="center"/>
    </xf>
    <xf numFmtId="0" fontId="43" fillId="15" borderId="0" xfId="0" applyFont="1" applyFill="1" applyAlignment="1">
      <alignment horizontal="center" vertical="center"/>
    </xf>
    <xf numFmtId="0" fontId="34" fillId="11" borderId="0" xfId="0" applyFont="1" applyFill="1" applyAlignment="1">
      <alignment horizontal="center"/>
    </xf>
    <xf numFmtId="0" fontId="82" fillId="14" borderId="0" xfId="0" applyFont="1" applyFill="1" applyBorder="1" applyAlignment="1">
      <alignment horizontal="center" vertical="center"/>
    </xf>
    <xf numFmtId="0" fontId="82" fillId="14" borderId="1" xfId="0" applyFont="1" applyFill="1" applyBorder="1" applyAlignment="1">
      <alignment horizontal="center" vertical="center"/>
    </xf>
    <xf numFmtId="0" fontId="42" fillId="14" borderId="0" xfId="0" applyFont="1" applyFill="1" applyBorder="1" applyAlignment="1">
      <alignment horizontal="right" vertical="center"/>
    </xf>
    <xf numFmtId="0" fontId="44" fillId="11" borderId="0" xfId="0" applyFont="1" applyFill="1" applyAlignment="1">
      <alignment horizontal="center"/>
    </xf>
    <xf numFmtId="0" fontId="48" fillId="14" borderId="0" xfId="19" applyFont="1" applyFill="1" applyAlignment="1" applyProtection="1">
      <alignment horizontal="center" vertical="center"/>
    </xf>
    <xf numFmtId="0" fontId="47" fillId="14" borderId="17" xfId="19" applyFont="1" applyFill="1" applyBorder="1" applyAlignment="1" applyProtection="1">
      <alignment horizontal="center"/>
    </xf>
    <xf numFmtId="0" fontId="48" fillId="14" borderId="18" xfId="19" applyFont="1" applyFill="1" applyBorder="1" applyAlignment="1" applyProtection="1">
      <alignment horizontal="center" vertical="center"/>
    </xf>
    <xf numFmtId="0" fontId="35" fillId="14" borderId="0" xfId="19" applyFont="1" applyFill="1" applyBorder="1" applyAlignment="1" applyProtection="1">
      <alignment horizontal="center"/>
    </xf>
    <xf numFmtId="2" fontId="57" fillId="15" borderId="0" xfId="0" applyNumberFormat="1" applyFont="1" applyFill="1" applyBorder="1" applyAlignment="1">
      <alignment horizontal="center"/>
    </xf>
    <xf numFmtId="2" fontId="57" fillId="15" borderId="13" xfId="0" applyNumberFormat="1" applyFont="1" applyFill="1" applyBorder="1" applyAlignment="1">
      <alignment horizontal="center"/>
    </xf>
    <xf numFmtId="2" fontId="57" fillId="15" borderId="14" xfId="0" applyNumberFormat="1" applyFont="1" applyFill="1" applyBorder="1" applyAlignment="1">
      <alignment horizontal="center"/>
    </xf>
    <xf numFmtId="0" fontId="29" fillId="21" borderId="15" xfId="0" applyFont="1" applyFill="1" applyBorder="1" applyAlignment="1">
      <alignment vertical="center" wrapText="1"/>
    </xf>
    <xf numFmtId="0" fontId="9" fillId="9" borderId="3" xfId="19" applyFont="1" applyFill="1" applyBorder="1" applyAlignment="1">
      <alignment horizontal="center" vertical="center"/>
    </xf>
    <xf numFmtId="0" fontId="9" fillId="9" borderId="3" xfId="19" applyFont="1" applyFill="1" applyBorder="1" applyAlignment="1">
      <alignment horizontal="center" vertical="center" wrapText="1"/>
    </xf>
    <xf numFmtId="170" fontId="28" fillId="11" borderId="0" xfId="0" applyNumberFormat="1" applyFont="1" applyFill="1" applyAlignment="1">
      <alignment horizontal="center" vertical="center"/>
    </xf>
    <xf numFmtId="170" fontId="9" fillId="16" borderId="0" xfId="0" applyNumberFormat="1" applyFont="1" applyFill="1" applyAlignment="1">
      <alignment horizontal="center" vertical="center"/>
    </xf>
    <xf numFmtId="0" fontId="30" fillId="21" borderId="0" xfId="0" applyFont="1" applyFill="1" applyAlignment="1">
      <alignment horizontal="center"/>
    </xf>
    <xf numFmtId="170" fontId="9" fillId="9" borderId="0" xfId="0" applyNumberFormat="1" applyFont="1" applyFill="1" applyAlignment="1">
      <alignment horizontal="center" vertical="center"/>
    </xf>
    <xf numFmtId="0" fontId="0" fillId="0" borderId="0" xfId="0" applyAlignment="1">
      <alignment horizontal="center"/>
    </xf>
    <xf numFmtId="0" fontId="6" fillId="0" borderId="0" xfId="0" applyFont="1" applyFill="1" applyAlignment="1">
      <alignment horizontal="center"/>
    </xf>
    <xf numFmtId="0" fontId="6" fillId="0" borderId="0" xfId="0" applyFont="1" applyAlignment="1">
      <alignment horizontal="center"/>
    </xf>
    <xf numFmtId="0" fontId="0" fillId="0" borderId="0" xfId="0" applyFill="1" applyAlignment="1">
      <alignment horizontal="center" vertical="center"/>
    </xf>
    <xf numFmtId="0" fontId="0" fillId="0" borderId="0" xfId="0"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horizontal="center"/>
    </xf>
    <xf numFmtId="0" fontId="6" fillId="0" borderId="0" xfId="0" applyFont="1" applyAlignment="1">
      <alignment horizontal="center" vertical="center"/>
    </xf>
    <xf numFmtId="0" fontId="0" fillId="0" borderId="0" xfId="0" applyAlignment="1">
      <alignment horizontal="center" vertical="center"/>
    </xf>
    <xf numFmtId="0" fontId="42" fillId="11" borderId="2" xfId="0" applyFont="1" applyFill="1" applyBorder="1" applyAlignment="1">
      <alignment horizontal="left" vertical="center" wrapText="1"/>
    </xf>
    <xf numFmtId="3" fontId="34" fillId="11" borderId="0" xfId="0" applyNumberFormat="1" applyFont="1" applyFill="1" applyBorder="1" applyAlignment="1">
      <alignment horizontal="left" vertical="center" wrapText="1"/>
    </xf>
    <xf numFmtId="3" fontId="42" fillId="11" borderId="0" xfId="0" applyNumberFormat="1" applyFont="1" applyFill="1" applyBorder="1" applyAlignment="1">
      <alignment horizontal="left" vertical="center" wrapText="1"/>
    </xf>
    <xf numFmtId="0" fontId="34" fillId="11" borderId="0" xfId="0" applyFont="1" applyFill="1" applyBorder="1" applyAlignment="1">
      <alignment horizontal="center" vertical="center" wrapText="1"/>
    </xf>
    <xf numFmtId="1" fontId="34" fillId="11" borderId="0" xfId="0" applyNumberFormat="1" applyFont="1" applyFill="1" applyBorder="1" applyAlignment="1">
      <alignment horizontal="center" vertical="center" wrapText="1"/>
    </xf>
    <xf numFmtId="1" fontId="42" fillId="11" borderId="0" xfId="0" applyNumberFormat="1" applyFont="1" applyFill="1" applyBorder="1" applyAlignment="1">
      <alignment horizontal="center" vertical="center" wrapText="1"/>
    </xf>
    <xf numFmtId="1" fontId="34" fillId="11" borderId="2" xfId="0" applyNumberFormat="1" applyFont="1" applyFill="1" applyBorder="1" applyAlignment="1">
      <alignment horizontal="left" vertical="center" wrapText="1"/>
    </xf>
    <xf numFmtId="0" fontId="34" fillId="11" borderId="2" xfId="0" applyFont="1" applyFill="1" applyBorder="1" applyAlignment="1">
      <alignment horizontal="left" vertical="center" wrapText="1"/>
    </xf>
    <xf numFmtId="0" fontId="42" fillId="11" borderId="0" xfId="0" applyFont="1" applyFill="1" applyAlignment="1">
      <alignment horizontal="center" vertical="center"/>
    </xf>
    <xf numFmtId="0" fontId="42" fillId="11" borderId="2" xfId="0" applyFont="1" applyFill="1" applyBorder="1" applyAlignment="1">
      <alignment horizontal="center" vertical="center"/>
    </xf>
    <xf numFmtId="3" fontId="34" fillId="11" borderId="3" xfId="0" applyNumberFormat="1" applyFont="1" applyFill="1" applyBorder="1" applyAlignment="1">
      <alignment horizontal="right" vertical="center" wrapText="1"/>
    </xf>
    <xf numFmtId="3" fontId="34" fillId="11" borderId="0" xfId="0" applyNumberFormat="1" applyFont="1" applyFill="1" applyBorder="1" applyAlignment="1">
      <alignment horizontal="right" vertical="center" wrapText="1"/>
    </xf>
    <xf numFmtId="3" fontId="42" fillId="11" borderId="3" xfId="0" applyNumberFormat="1" applyFont="1" applyFill="1" applyBorder="1" applyAlignment="1">
      <alignment horizontal="right" vertical="center" wrapText="1"/>
    </xf>
    <xf numFmtId="3" fontId="42" fillId="11" borderId="0" xfId="0" applyNumberFormat="1" applyFont="1" applyFill="1" applyBorder="1" applyAlignment="1">
      <alignment horizontal="right" vertical="center" wrapText="1"/>
    </xf>
    <xf numFmtId="0" fontId="91" fillId="11" borderId="0" xfId="0" applyFont="1" applyFill="1" applyBorder="1" applyAlignment="1">
      <alignment horizontal="center" vertical="center"/>
    </xf>
    <xf numFmtId="0" fontId="54" fillId="11" borderId="0" xfId="0" applyFont="1" applyFill="1" applyBorder="1" applyAlignment="1">
      <alignment horizontal="center" vertical="center" wrapText="1"/>
    </xf>
    <xf numFmtId="0" fontId="92" fillId="11" borderId="0" xfId="0" applyFont="1" applyFill="1" applyAlignment="1">
      <alignment horizontal="center" vertical="center" wrapText="1"/>
    </xf>
    <xf numFmtId="0" fontId="54" fillId="11" borderId="0" xfId="0" applyFont="1" applyFill="1" applyBorder="1" applyAlignment="1">
      <alignment horizontal="center" vertical="center"/>
    </xf>
    <xf numFmtId="0" fontId="81" fillId="11" borderId="0" xfId="0" applyFont="1" applyFill="1" applyBorder="1" applyAlignment="1">
      <alignment horizontal="center" vertical="center"/>
    </xf>
    <xf numFmtId="0" fontId="90" fillId="11" borderId="0" xfId="0" applyFont="1" applyFill="1" applyAlignment="1">
      <alignment horizontal="center" vertical="center"/>
    </xf>
    <xf numFmtId="0" fontId="49" fillId="11" borderId="0" xfId="0" applyFont="1" applyFill="1" applyAlignment="1">
      <alignment horizontal="left"/>
    </xf>
    <xf numFmtId="0" fontId="86" fillId="14" borderId="0" xfId="19" applyFont="1" applyFill="1" applyBorder="1" applyAlignment="1" applyProtection="1">
      <alignment horizontal="center"/>
    </xf>
    <xf numFmtId="0" fontId="86" fillId="14" borderId="4" xfId="19" applyFont="1" applyFill="1" applyBorder="1" applyAlignment="1" applyProtection="1">
      <alignment horizontal="center"/>
    </xf>
    <xf numFmtId="2" fontId="89" fillId="11" borderId="0" xfId="0" applyNumberFormat="1" applyFont="1" applyFill="1" applyAlignment="1">
      <alignment horizontal="center" vertical="center"/>
    </xf>
    <xf numFmtId="0" fontId="48" fillId="14" borderId="5" xfId="19" applyFont="1" applyFill="1" applyBorder="1" applyAlignment="1" applyProtection="1">
      <alignment horizontal="left"/>
    </xf>
    <xf numFmtId="0" fontId="87" fillId="11" borderId="0" xfId="0" applyFont="1" applyFill="1" applyBorder="1" applyAlignment="1">
      <alignment horizontal="center"/>
    </xf>
    <xf numFmtId="0" fontId="87" fillId="11" borderId="4" xfId="0" applyFont="1" applyFill="1" applyBorder="1" applyAlignment="1">
      <alignment horizontal="center"/>
    </xf>
    <xf numFmtId="0" fontId="62" fillId="11" borderId="0" xfId="0" applyFont="1" applyFill="1" applyAlignment="1">
      <alignment horizontal="center" vertical="top" wrapText="1"/>
    </xf>
    <xf numFmtId="0" fontId="42" fillId="14" borderId="0" xfId="0" applyFont="1" applyFill="1" applyAlignment="1">
      <alignment horizontal="center"/>
    </xf>
    <xf numFmtId="0" fontId="34" fillId="14" borderId="0" xfId="0" applyFont="1" applyFill="1" applyAlignment="1">
      <alignment horizontal="center"/>
    </xf>
    <xf numFmtId="0" fontId="62" fillId="11" borderId="0" xfId="0" applyFont="1" applyFill="1" applyAlignment="1">
      <alignment horizontal="left" vertical="center"/>
    </xf>
    <xf numFmtId="0" fontId="64" fillId="11" borderId="0" xfId="0" applyFont="1" applyFill="1" applyAlignment="1">
      <alignment horizontal="center" wrapText="1"/>
    </xf>
    <xf numFmtId="0" fontId="33" fillId="15" borderId="0" xfId="0" applyFont="1" applyFill="1" applyAlignment="1" applyProtection="1">
      <alignment horizontal="left" vertical="center"/>
    </xf>
    <xf numFmtId="0" fontId="94" fillId="13" borderId="0" xfId="1" applyFont="1" applyFill="1" applyAlignment="1" applyProtection="1">
      <alignment horizontal="center"/>
    </xf>
    <xf numFmtId="0" fontId="102" fillId="15" borderId="0" xfId="19" applyFont="1" applyFill="1" applyAlignment="1">
      <alignment horizontal="center" vertical="center" wrapText="1"/>
    </xf>
    <xf numFmtId="0" fontId="35" fillId="14" borderId="0" xfId="19" applyFont="1" applyFill="1" applyAlignment="1">
      <alignment horizontal="left" wrapText="1"/>
    </xf>
    <xf numFmtId="0" fontId="108" fillId="14" borderId="0" xfId="19" applyFont="1" applyFill="1" applyBorder="1" applyAlignment="1">
      <alignment horizontal="center"/>
    </xf>
    <xf numFmtId="0" fontId="108" fillId="15" borderId="0" xfId="19" applyFont="1" applyFill="1" applyBorder="1" applyAlignment="1">
      <alignment horizontal="center" vertical="center"/>
    </xf>
    <xf numFmtId="0" fontId="103" fillId="15" borderId="0" xfId="18" applyFont="1" applyFill="1" applyBorder="1" applyAlignment="1" applyProtection="1">
      <alignment horizontal="center" vertical="center" wrapText="1"/>
      <protection locked="0"/>
    </xf>
    <xf numFmtId="0" fontId="103" fillId="11" borderId="0" xfId="18" applyFont="1" applyFill="1" applyBorder="1" applyAlignment="1" applyProtection="1">
      <alignment horizontal="center" vertical="top" wrapText="1"/>
      <protection locked="0"/>
    </xf>
    <xf numFmtId="0" fontId="74" fillId="14" borderId="0" xfId="19" applyFont="1" applyFill="1" applyBorder="1" applyAlignment="1">
      <alignment horizontal="left" vertical="center" wrapText="1"/>
    </xf>
    <xf numFmtId="0" fontId="35" fillId="11" borderId="0" xfId="19" applyFont="1" applyFill="1" applyAlignment="1">
      <alignment horizontal="center" vertical="center"/>
    </xf>
    <xf numFmtId="0" fontId="108" fillId="15" borderId="0" xfId="19" applyFont="1" applyFill="1" applyBorder="1" applyAlignment="1">
      <alignment horizontal="center" vertical="center" wrapText="1"/>
    </xf>
    <xf numFmtId="2" fontId="103" fillId="11" borderId="0" xfId="18" applyNumberFormat="1" applyFont="1" applyFill="1" applyBorder="1" applyAlignment="1" applyProtection="1">
      <alignment horizontal="center" vertical="center"/>
      <protection locked="0"/>
    </xf>
    <xf numFmtId="0" fontId="74" fillId="14" borderId="11" xfId="19" applyFont="1" applyFill="1" applyBorder="1" applyAlignment="1">
      <alignment horizontal="left" vertical="center" wrapText="1"/>
    </xf>
    <xf numFmtId="2" fontId="103" fillId="15" borderId="0" xfId="18" applyNumberFormat="1" applyFont="1" applyFill="1" applyBorder="1" applyAlignment="1" applyProtection="1">
      <alignment horizontal="center" vertical="center"/>
      <protection locked="0"/>
    </xf>
    <xf numFmtId="0" fontId="74" fillId="15" borderId="0" xfId="18" applyFont="1" applyFill="1" applyBorder="1" applyAlignment="1" applyProtection="1">
      <alignment horizontal="center" vertical="center"/>
      <protection locked="0"/>
    </xf>
    <xf numFmtId="0" fontId="74" fillId="11" borderId="0" xfId="18" applyFont="1" applyFill="1" applyBorder="1" applyAlignment="1" applyProtection="1">
      <alignment horizontal="left" vertical="center" wrapText="1"/>
      <protection locked="0"/>
    </xf>
    <xf numFmtId="0" fontId="74" fillId="14" borderId="0" xfId="18" applyFont="1" applyFill="1" applyBorder="1" applyAlignment="1" applyProtection="1">
      <alignment horizontal="left" vertical="center" wrapText="1"/>
      <protection locked="0"/>
    </xf>
    <xf numFmtId="0" fontId="102" fillId="15" borderId="0" xfId="19" applyFont="1" applyFill="1" applyAlignment="1">
      <alignment horizontal="center"/>
    </xf>
    <xf numFmtId="0" fontId="100" fillId="13" borderId="0" xfId="19" applyFont="1" applyFill="1" applyAlignment="1">
      <alignment horizontal="left" vertical="center" wrapText="1"/>
    </xf>
    <xf numFmtId="0" fontId="44" fillId="16" borderId="0" xfId="19" applyFont="1" applyFill="1" applyAlignment="1">
      <alignment horizontal="left" vertical="center"/>
    </xf>
    <xf numFmtId="0" fontId="103" fillId="15" borderId="0" xfId="19" applyFont="1" applyFill="1" applyAlignment="1">
      <alignment horizontal="center" vertical="center"/>
    </xf>
    <xf numFmtId="0" fontId="103" fillId="15" borderId="0" xfId="19" applyFont="1" applyFill="1" applyAlignment="1">
      <alignment horizontal="center"/>
    </xf>
    <xf numFmtId="0" fontId="102" fillId="15" borderId="0" xfId="19" applyFont="1" applyFill="1" applyAlignment="1">
      <alignment horizontal="center" vertical="center"/>
    </xf>
    <xf numFmtId="2" fontId="103" fillId="14" borderId="0" xfId="18" applyNumberFormat="1" applyFont="1" applyFill="1" applyBorder="1" applyAlignment="1" applyProtection="1">
      <alignment horizontal="center" vertical="center"/>
      <protection locked="0"/>
    </xf>
    <xf numFmtId="0" fontId="103" fillId="14" borderId="0" xfId="18" applyFont="1" applyFill="1" applyBorder="1" applyAlignment="1" applyProtection="1">
      <alignment horizontal="center" vertical="top" wrapText="1"/>
      <protection locked="0"/>
    </xf>
    <xf numFmtId="0" fontId="43" fillId="15" borderId="0" xfId="19" applyFont="1" applyFill="1" applyAlignment="1">
      <alignment horizontal="center" vertical="center"/>
    </xf>
    <xf numFmtId="0" fontId="74" fillId="11" borderId="0" xfId="18" applyFont="1" applyFill="1" applyBorder="1" applyAlignment="1" applyProtection="1">
      <alignment horizontal="left"/>
      <protection locked="0"/>
    </xf>
    <xf numFmtId="0" fontId="35" fillId="11" borderId="0" xfId="19" applyFont="1" applyFill="1" applyAlignment="1">
      <alignment horizontal="center" vertical="center" wrapText="1"/>
    </xf>
    <xf numFmtId="0" fontId="35" fillId="11" borderId="0" xfId="19" applyFont="1" applyFill="1" applyBorder="1" applyAlignment="1">
      <alignment horizontal="left"/>
    </xf>
    <xf numFmtId="0" fontId="35" fillId="14" borderId="0" xfId="19" applyFont="1" applyFill="1" applyAlignment="1">
      <alignment horizontal="left"/>
    </xf>
    <xf numFmtId="0" fontId="74" fillId="11" borderId="0" xfId="18" applyFont="1" applyFill="1" applyBorder="1" applyAlignment="1" applyProtection="1">
      <alignment horizontal="left" wrapText="1"/>
      <protection locked="0"/>
    </xf>
    <xf numFmtId="0" fontId="35" fillId="14" borderId="0" xfId="19" applyFont="1" applyFill="1" applyAlignment="1">
      <alignment horizontal="left" vertical="top" wrapText="1"/>
    </xf>
    <xf numFmtId="0" fontId="43" fillId="15" borderId="0" xfId="18" applyFont="1" applyFill="1" applyBorder="1" applyAlignment="1" applyProtection="1">
      <alignment horizontal="center" vertical="center"/>
      <protection locked="0"/>
    </xf>
    <xf numFmtId="0" fontId="35" fillId="11" borderId="0" xfId="19" applyFont="1" applyFill="1" applyAlignment="1">
      <alignment horizontal="left"/>
    </xf>
    <xf numFmtId="0" fontId="35" fillId="11" borderId="0" xfId="19" applyFont="1" applyFill="1" applyBorder="1" applyAlignment="1">
      <alignment wrapText="1"/>
    </xf>
    <xf numFmtId="0" fontId="35" fillId="14" borderId="0" xfId="19" applyFont="1" applyFill="1" applyAlignment="1">
      <alignment horizontal="left" vertical="center" wrapText="1"/>
    </xf>
    <xf numFmtId="0" fontId="74" fillId="11" borderId="0" xfId="18" applyFont="1" applyFill="1" applyBorder="1" applyAlignment="1" applyProtection="1">
      <alignment horizontal="left" vertical="center"/>
      <protection locked="0"/>
    </xf>
  </cellXfs>
  <cellStyles count="26">
    <cellStyle name="Check Cell" xfId="18" builtinId="23"/>
    <cellStyle name="Comma" xfId="13" builtinId="3"/>
    <cellStyle name="Comma 2" xfId="17" xr:uid="{00000000-0005-0000-0000-000002000000}"/>
    <cellStyle name="Hyperlink" xfId="1" builtinId="8"/>
    <cellStyle name="Normal" xfId="0" builtinId="0"/>
    <cellStyle name="Normal 2" xfId="2" xr:uid="{00000000-0005-0000-0000-000006000000}"/>
    <cellStyle name="Normal 2 2" xfId="7" xr:uid="{00000000-0005-0000-0000-000007000000}"/>
    <cellStyle name="Normal 3" xfId="6" xr:uid="{00000000-0005-0000-0000-000008000000}"/>
    <cellStyle name="Normal 4" xfId="11" xr:uid="{00000000-0005-0000-0000-000009000000}"/>
    <cellStyle name="Normal 4 2" xfId="15" xr:uid="{00000000-0005-0000-0000-00000A000000}"/>
    <cellStyle name="Normal 4 2 2" xfId="23" xr:uid="{00000000-0005-0000-0000-00000B000000}"/>
    <cellStyle name="Normal 4 3" xfId="21" xr:uid="{00000000-0005-0000-0000-00000C000000}"/>
    <cellStyle name="Normal 5" xfId="12" xr:uid="{00000000-0005-0000-0000-00000D000000}"/>
    <cellStyle name="Normal 5 2" xfId="16" xr:uid="{00000000-0005-0000-0000-00000E000000}"/>
    <cellStyle name="Normal 5 2 2" xfId="24" xr:uid="{00000000-0005-0000-0000-00000F000000}"/>
    <cellStyle name="Normal 5 3" xfId="22" xr:uid="{00000000-0005-0000-0000-000010000000}"/>
    <cellStyle name="Normal 6" xfId="19" xr:uid="{00000000-0005-0000-0000-000011000000}"/>
    <cellStyle name="Normal 6 2" xfId="25" xr:uid="{00000000-0005-0000-0000-000012000000}"/>
    <cellStyle name="Percent" xfId="3" builtinId="5"/>
    <cellStyle name="Pourcentage 2" xfId="4" xr:uid="{00000000-0005-0000-0000-000014000000}"/>
    <cellStyle name="Pourcentage 2 2" xfId="8" xr:uid="{00000000-0005-0000-0000-000015000000}"/>
    <cellStyle name="Pourcentage 3" xfId="5" xr:uid="{00000000-0005-0000-0000-000016000000}"/>
    <cellStyle name="Pourcentage 3 2" xfId="9" xr:uid="{00000000-0005-0000-0000-000017000000}"/>
    <cellStyle name="Pourcentage 4" xfId="10" xr:uid="{00000000-0005-0000-0000-000018000000}"/>
    <cellStyle name="Pourcentage 4 2" xfId="14" xr:uid="{00000000-0005-0000-0000-000019000000}"/>
    <cellStyle name="Style 1" xfId="20" xr:uid="{00000000-0005-0000-0000-00001A000000}"/>
  </cellStyles>
  <dxfs count="670">
    <dxf>
      <fill>
        <patternFill>
          <bgColor rgb="FFFBECAB"/>
        </patternFill>
      </fill>
    </dxf>
    <dxf>
      <fill>
        <patternFill>
          <bgColor rgb="FFFBECAB"/>
        </patternFill>
      </fill>
    </dxf>
    <dxf>
      <font>
        <color rgb="FFF2F2F2"/>
      </font>
      <fill>
        <patternFill>
          <bgColor rgb="FFF2F2F2"/>
        </patternFill>
      </fill>
      <border>
        <left/>
        <right/>
        <top/>
        <bottom/>
      </border>
    </dxf>
    <dxf>
      <fill>
        <patternFill>
          <bgColor theme="6"/>
        </patternFill>
      </fill>
    </dxf>
    <dxf>
      <fill>
        <patternFill>
          <bgColor rgb="FFFF0000"/>
        </patternFill>
      </fill>
    </dxf>
    <dxf>
      <fill>
        <patternFill>
          <bgColor rgb="FFF2C80F"/>
        </patternFill>
      </fill>
    </dxf>
    <dxf>
      <fill>
        <patternFill>
          <bgColor theme="6"/>
        </patternFill>
      </fill>
    </dxf>
    <dxf>
      <fill>
        <patternFill>
          <bgColor rgb="FFFF0000"/>
        </patternFill>
      </fill>
    </dxf>
    <dxf>
      <fill>
        <patternFill>
          <bgColor rgb="FFF2C80F"/>
        </patternFill>
      </fill>
    </dxf>
    <dxf>
      <fill>
        <patternFill>
          <bgColor rgb="FFFF0000"/>
        </patternFill>
      </fill>
    </dxf>
    <dxf>
      <fill>
        <patternFill>
          <bgColor theme="6"/>
        </patternFill>
      </fill>
    </dxf>
    <dxf>
      <fill>
        <patternFill>
          <bgColor rgb="FFF2C80F"/>
        </patternFill>
      </fill>
    </dxf>
    <dxf>
      <fill>
        <patternFill>
          <bgColor theme="6"/>
        </patternFill>
      </fill>
    </dxf>
    <dxf>
      <fill>
        <patternFill>
          <bgColor rgb="FFFF0000"/>
        </patternFill>
      </fill>
    </dxf>
    <dxf>
      <fill>
        <patternFill>
          <bgColor rgb="FFF2C80F"/>
        </patternFill>
      </fill>
    </dxf>
    <dxf>
      <fill>
        <patternFill>
          <bgColor theme="6"/>
        </patternFill>
      </fill>
    </dxf>
    <dxf>
      <fill>
        <patternFill>
          <bgColor rgb="FFFF0000"/>
        </patternFill>
      </fill>
    </dxf>
    <dxf>
      <fill>
        <patternFill>
          <bgColor rgb="FFF2C80F"/>
        </patternFill>
      </fill>
    </dxf>
    <dxf>
      <fill>
        <patternFill>
          <bgColor theme="6"/>
        </patternFill>
      </fill>
    </dxf>
    <dxf>
      <fill>
        <patternFill>
          <bgColor rgb="FFFF0000"/>
        </patternFill>
      </fill>
    </dxf>
    <dxf>
      <fill>
        <patternFill>
          <bgColor rgb="FFF2C80F"/>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indexed="65"/>
        </patternFill>
      </fill>
    </dxf>
    <dxf>
      <numFmt numFmtId="2" formatCode="0.00"/>
    </dxf>
    <dxf>
      <numFmt numFmtId="3" formatCode="#,##0"/>
    </dxf>
    <dxf>
      <numFmt numFmtId="3" formatCode="#,##0"/>
    </dxf>
    <dxf>
      <numFmt numFmtId="3" formatCode="#,##0"/>
    </dxf>
    <dxf>
      <numFmt numFmtId="3" formatCode="#,##0"/>
    </dxf>
    <dxf>
      <font>
        <color rgb="FFF2F2F2"/>
      </font>
      <fill>
        <patternFill>
          <bgColor rgb="FFF2F2F2"/>
        </patternFill>
      </fill>
    </dxf>
    <dxf>
      <font>
        <color rgb="FFF4F4F4"/>
      </font>
      <fill>
        <patternFill>
          <bgColor rgb="FFF4F4F4"/>
        </patternFill>
      </fill>
      <border>
        <left/>
        <right/>
        <top/>
        <bottom/>
        <vertical/>
        <horizontal/>
      </border>
    </dxf>
    <dxf>
      <font>
        <color rgb="FFF4F4F4"/>
      </font>
      <fill>
        <patternFill>
          <bgColor rgb="FFF4F4F4"/>
        </patternFill>
      </fill>
      <border>
        <left/>
        <right/>
        <top/>
        <bottom/>
      </border>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rgb="FFF4F4F4"/>
      </font>
      <fill>
        <patternFill>
          <bgColor rgb="FFF4F4F4"/>
        </patternFill>
      </fill>
      <border>
        <left/>
        <right/>
        <top/>
        <bottom/>
      </border>
    </dxf>
    <dxf>
      <font>
        <color rgb="FFF4F4F4"/>
      </font>
      <fill>
        <patternFill>
          <bgColor rgb="FFF4F4F4"/>
        </patternFill>
      </fill>
      <border>
        <left/>
        <right/>
        <top/>
        <bottom/>
        <vertical/>
        <horizontal/>
      </border>
    </dxf>
    <dxf>
      <font>
        <color rgb="FFF4F4F4"/>
      </font>
      <fill>
        <patternFill>
          <bgColor rgb="FFF4F4F4"/>
        </patternFill>
      </fill>
      <border>
        <left/>
        <right/>
        <top/>
        <bottom/>
      </border>
    </dxf>
    <dxf>
      <font>
        <color rgb="FFF4F4F4"/>
      </font>
      <fill>
        <patternFill>
          <bgColor rgb="FFF4F4F4"/>
        </patternFill>
      </fill>
      <border>
        <left/>
        <right/>
        <top/>
        <bottom/>
        <vertical/>
        <horizontal/>
      </border>
    </dxf>
    <dxf>
      <font>
        <color rgb="FFF4F4F4"/>
      </font>
      <fill>
        <patternFill>
          <bgColor rgb="FFF4F4F4"/>
        </patternFill>
      </fill>
      <border>
        <left/>
        <right/>
        <top/>
        <bottom/>
      </border>
    </dxf>
    <dxf>
      <font>
        <color rgb="FFF4F4F4"/>
      </font>
      <fill>
        <patternFill>
          <bgColor rgb="FFF4F4F4"/>
        </patternFill>
      </fill>
      <border>
        <left/>
        <right/>
        <top/>
        <bottom/>
        <vertical/>
        <horizontal/>
      </border>
    </dxf>
    <dxf>
      <font>
        <color rgb="FFF4F4F4"/>
      </font>
      <fill>
        <patternFill>
          <bgColor rgb="FFF4F4F4"/>
        </patternFill>
      </fill>
      <border>
        <left/>
        <right/>
        <top/>
        <bottom/>
      </border>
    </dxf>
    <dxf>
      <font>
        <color rgb="FFF4F4F4"/>
      </font>
      <fill>
        <patternFill>
          <bgColor rgb="FFF4F4F4"/>
        </patternFill>
      </fill>
      <border>
        <left/>
        <right/>
        <top/>
        <bottom/>
        <vertical/>
        <horizontal/>
      </border>
    </dxf>
    <dxf>
      <font>
        <color rgb="FFF4F4F4"/>
      </font>
      <fill>
        <patternFill>
          <bgColor rgb="FFF4F4F4"/>
        </patternFill>
      </fill>
      <border>
        <left/>
        <right/>
        <top/>
        <bottom/>
      </border>
    </dxf>
    <dxf>
      <font>
        <color rgb="FFF4F4F4"/>
      </font>
      <fill>
        <patternFill>
          <bgColor rgb="FFF4F4F4"/>
        </patternFill>
      </fill>
      <border>
        <left/>
        <right/>
        <top/>
        <bottom/>
        <vertical/>
        <horizontal/>
      </border>
    </dxf>
    <dxf>
      <font>
        <color rgb="FFF4F4F4"/>
      </font>
      <fill>
        <patternFill>
          <bgColor rgb="FFF4F4F4"/>
        </patternFill>
      </fill>
      <border>
        <left/>
        <right/>
        <top/>
        <bottom/>
      </border>
    </dxf>
    <dxf>
      <font>
        <color rgb="FFF4F4F4"/>
      </font>
      <fill>
        <patternFill>
          <bgColor rgb="FFF4F4F4"/>
        </patternFill>
      </fill>
      <border>
        <left/>
        <right/>
        <top/>
        <bottom/>
        <vertical/>
        <horizontal/>
      </border>
    </dxf>
    <dxf>
      <font>
        <color rgb="FFF4F4F4"/>
      </font>
      <fill>
        <patternFill>
          <bgColor rgb="FFF4F4F4"/>
        </patternFill>
      </fill>
      <border>
        <left/>
        <right/>
        <top/>
        <bottom/>
      </border>
    </dxf>
    <dxf>
      <font>
        <color rgb="FFF4F4F4"/>
      </font>
      <fill>
        <patternFill>
          <bgColor rgb="FFF4F4F4"/>
        </patternFill>
      </fill>
      <border>
        <left/>
        <right/>
        <top/>
        <bottom/>
        <vertical/>
        <horizontal/>
      </border>
    </dxf>
    <dxf>
      <font>
        <color rgb="FFF4F4F4"/>
      </font>
      <fill>
        <patternFill>
          <bgColor rgb="FFF4F4F4"/>
        </patternFill>
      </fill>
      <border>
        <left/>
        <right/>
        <top/>
        <bottom/>
      </border>
    </dxf>
    <dxf>
      <font>
        <color rgb="FFF4F4F4"/>
      </font>
      <fill>
        <patternFill>
          <bgColor rgb="FFF4F4F4"/>
        </patternFill>
      </fill>
      <border>
        <left/>
        <right/>
        <top/>
        <bottom/>
        <vertical/>
        <horizontal/>
      </border>
    </dxf>
    <dxf>
      <font>
        <color rgb="FFF4F4F4"/>
      </font>
      <fill>
        <patternFill>
          <bgColor rgb="FFF4F4F4"/>
        </patternFill>
      </fill>
      <border>
        <left/>
        <right/>
        <top/>
        <bottom/>
      </border>
    </dxf>
    <dxf>
      <font>
        <color rgb="FFF4F4F4"/>
      </font>
      <fill>
        <patternFill>
          <bgColor rgb="FFF4F4F4"/>
        </patternFill>
      </fill>
      <border>
        <left/>
        <right/>
        <top/>
        <bottom/>
        <vertical/>
        <horizontal/>
      </border>
    </dxf>
    <dxf>
      <font>
        <color rgb="FFF4F4F4"/>
      </font>
      <fill>
        <patternFill>
          <bgColor rgb="FFF4F4F4"/>
        </patternFill>
      </fill>
      <border>
        <left/>
        <right/>
        <top/>
        <bottom/>
      </border>
    </dxf>
    <dxf>
      <font>
        <color rgb="FFF4F4F4"/>
      </font>
      <fill>
        <patternFill>
          <bgColor rgb="FFF4F4F4"/>
        </patternFill>
      </fill>
      <border>
        <left/>
        <right/>
        <top/>
        <bottom/>
        <vertical/>
        <horizontal/>
      </border>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rgb="FFF2F2F2"/>
      </font>
      <fill>
        <patternFill>
          <bgColor rgb="FFF2F2F2"/>
        </patternFill>
      </fill>
    </dxf>
    <dxf>
      <font>
        <color rgb="FFF2F2F2"/>
      </font>
      <fill>
        <patternFill>
          <bgColor rgb="FFF2F2F2"/>
        </patternFill>
      </fill>
    </dxf>
    <dxf>
      <font>
        <color rgb="FFF2F2F2"/>
      </font>
      <fill>
        <patternFill>
          <bgColor rgb="FFF2F2F2"/>
        </patternFill>
      </fill>
    </dxf>
    <dxf>
      <font>
        <color rgb="FFF2F2F2"/>
      </font>
      <fill>
        <patternFill>
          <bgColor rgb="FFF2F2F2"/>
        </patternFill>
      </fill>
    </dxf>
    <dxf>
      <font>
        <color rgb="FFF2F2F2"/>
      </font>
      <fill>
        <patternFill>
          <bgColor rgb="FFF2F2F2"/>
        </patternFill>
      </fill>
    </dxf>
    <dxf>
      <font>
        <color rgb="FFF2F2F2"/>
      </font>
      <fill>
        <patternFill>
          <bgColor rgb="FFF2F2F2"/>
        </patternFill>
      </fill>
    </dxf>
    <dxf>
      <font>
        <color rgb="FFF2F2F2"/>
      </font>
      <fill>
        <patternFill>
          <bgColor rgb="FFF2F2F2"/>
        </patternFill>
      </fill>
    </dxf>
    <dxf>
      <font>
        <color rgb="FFF2F2F2"/>
      </font>
      <fill>
        <patternFill>
          <bgColor rgb="FFF2F2F2"/>
        </patternFill>
      </fill>
    </dxf>
    <dxf>
      <font>
        <color rgb="FFF2F2F2"/>
      </font>
      <fill>
        <patternFill>
          <bgColor rgb="FFF2F2F2"/>
        </patternFill>
      </fill>
    </dxf>
    <dxf>
      <font>
        <color rgb="FFF2F2F2"/>
      </font>
      <fill>
        <patternFill>
          <bgColor rgb="FFF2F2F2"/>
        </patternFill>
      </fill>
    </dxf>
    <dxf>
      <font>
        <color rgb="FFF2F2F2"/>
      </font>
      <fill>
        <patternFill>
          <bgColor rgb="FFF2F2F2"/>
        </patternFill>
      </fill>
    </dxf>
    <dxf>
      <font>
        <color rgb="FFF2F2F2"/>
      </font>
      <fill>
        <patternFill>
          <bgColor rgb="FFF2F2F2"/>
        </patternFill>
      </fill>
    </dxf>
    <dxf>
      <font>
        <b/>
        <i val="0"/>
      </font>
    </dxf>
    <dxf>
      <font>
        <color auto="1"/>
      </font>
      <fill>
        <patternFill>
          <bgColor theme="0"/>
        </patternFill>
      </fill>
    </dxf>
    <dxf>
      <font>
        <color auto="1"/>
      </font>
      <fill>
        <patternFill>
          <bgColor theme="0"/>
        </patternFill>
      </fill>
    </dxf>
    <dxf>
      <font>
        <color auto="1"/>
      </font>
      <fill>
        <patternFill>
          <bgColor theme="0"/>
        </patternFill>
      </fill>
    </dxf>
    <dxf>
      <font>
        <color auto="1"/>
      </font>
      <fill>
        <patternFill>
          <bgColor theme="0"/>
        </patternFill>
      </fill>
    </dxf>
    <dxf>
      <font>
        <color auto="1"/>
      </font>
      <fill>
        <patternFill>
          <bgColor theme="0"/>
        </patternFill>
      </fill>
    </dxf>
    <dxf>
      <font>
        <color auto="1"/>
      </font>
      <fill>
        <patternFill>
          <bgColor theme="0"/>
        </patternFill>
      </fill>
    </dxf>
    <dxf>
      <font>
        <color auto="1"/>
      </font>
      <fill>
        <patternFill>
          <bgColor theme="0"/>
        </patternFill>
      </fill>
    </dxf>
    <dxf>
      <font>
        <color auto="1"/>
      </font>
      <fill>
        <patternFill>
          <bgColor theme="0"/>
        </patternFill>
      </fill>
    </dxf>
    <dxf>
      <font>
        <color auto="1"/>
      </font>
      <fill>
        <patternFill>
          <bgColor theme="0"/>
        </patternFill>
      </fill>
    </dxf>
    <dxf>
      <font>
        <color auto="1"/>
      </font>
      <fill>
        <patternFill>
          <bgColor theme="0"/>
        </patternFill>
      </fill>
    </dxf>
    <dxf>
      <font>
        <color auto="1"/>
      </font>
      <fill>
        <patternFill>
          <bgColor theme="0"/>
        </patternFill>
      </fill>
    </dxf>
    <dxf>
      <font>
        <color auto="1"/>
      </font>
      <fill>
        <patternFill>
          <bgColor theme="0"/>
        </patternFill>
      </fill>
    </dxf>
    <dxf>
      <font>
        <color auto="1"/>
      </font>
      <fill>
        <patternFill>
          <bgColor theme="0"/>
        </patternFill>
      </fill>
    </dxf>
    <dxf>
      <font>
        <color auto="1"/>
      </font>
      <fill>
        <patternFill>
          <bgColor theme="0"/>
        </patternFill>
      </fill>
    </dxf>
    <dxf>
      <font>
        <color auto="1"/>
      </font>
      <fill>
        <patternFill>
          <bgColor theme="0"/>
        </patternFill>
      </fill>
    </dxf>
    <dxf>
      <font>
        <color auto="1"/>
      </font>
      <fill>
        <patternFill>
          <bgColor theme="0"/>
        </patternFill>
      </fill>
    </dxf>
    <dxf>
      <font>
        <color auto="1"/>
      </font>
      <fill>
        <patternFill>
          <bgColor theme="0"/>
        </patternFill>
      </fill>
    </dxf>
    <dxf>
      <font>
        <color auto="1"/>
      </font>
      <fill>
        <patternFill>
          <bgColor theme="0"/>
        </patternFill>
      </fill>
    </dxf>
    <dxf>
      <font>
        <color auto="1"/>
      </font>
      <fill>
        <patternFill>
          <bgColor theme="0"/>
        </patternFill>
      </fill>
    </dxf>
    <dxf>
      <font>
        <color auto="1"/>
      </font>
      <fill>
        <patternFill>
          <bgColor theme="0"/>
        </patternFill>
      </fill>
    </dxf>
    <dxf>
      <font>
        <color auto="1"/>
      </font>
      <fill>
        <patternFill>
          <bgColor theme="0"/>
        </patternFill>
      </fill>
    </dxf>
    <dxf>
      <font>
        <color auto="1"/>
      </font>
      <fill>
        <patternFill>
          <bgColor theme="0"/>
        </patternFill>
      </fill>
    </dxf>
    <dxf>
      <font>
        <color auto="1"/>
      </font>
      <fill>
        <patternFill>
          <bgColor theme="0"/>
        </patternFill>
      </fill>
    </dxf>
    <dxf>
      <font>
        <color auto="1"/>
      </font>
      <fill>
        <patternFill>
          <bgColor theme="0"/>
        </patternFill>
      </fill>
    </dxf>
    <dxf>
      <font>
        <color auto="1"/>
      </font>
      <fill>
        <patternFill>
          <bgColor theme="0"/>
        </patternFill>
      </fill>
    </dxf>
    <dxf>
      <font>
        <color auto="1"/>
      </font>
      <fill>
        <patternFill>
          <bgColor theme="0"/>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4F4F4"/>
        </patternFill>
      </fill>
      <border>
        <vertical/>
        <horizontal/>
      </border>
    </dxf>
    <dxf>
      <font>
        <color auto="1"/>
      </font>
      <fill>
        <patternFill>
          <bgColor theme="0"/>
        </patternFill>
      </fill>
    </dxf>
    <dxf>
      <font>
        <color auto="1"/>
      </font>
      <fill>
        <patternFill>
          <bgColor rgb="FFF4F4F4"/>
        </patternFill>
      </fill>
      <border>
        <vertical/>
        <horizontal/>
      </border>
    </dxf>
    <dxf>
      <font>
        <color auto="1"/>
      </font>
    </dxf>
    <dxf>
      <font>
        <color auto="1"/>
      </font>
      <fill>
        <patternFill>
          <bgColor theme="0"/>
        </patternFill>
      </fill>
    </dxf>
    <dxf>
      <font>
        <color auto="1"/>
      </font>
      <fill>
        <patternFill>
          <bgColor rgb="FFF4F4F4"/>
        </patternFill>
      </fill>
      <border>
        <vertical/>
        <horizontal/>
      </border>
    </dxf>
    <dxf>
      <font>
        <color auto="1"/>
      </font>
    </dxf>
    <dxf>
      <font>
        <color auto="1"/>
      </font>
      <fill>
        <patternFill>
          <bgColor rgb="FFF4F4F4"/>
        </patternFill>
      </fill>
      <border>
        <vertical/>
        <horizontal/>
      </border>
    </dxf>
    <dxf>
      <font>
        <color auto="1"/>
      </font>
      <fill>
        <patternFill>
          <bgColor theme="0"/>
        </patternFill>
      </fill>
    </dxf>
    <dxf>
      <font>
        <color auto="1"/>
      </font>
      <fill>
        <patternFill>
          <bgColor rgb="FFF4F4F4"/>
        </patternFill>
      </fill>
      <border>
        <vertical/>
        <horizontal/>
      </border>
    </dxf>
    <dxf>
      <font>
        <color auto="1"/>
      </font>
    </dxf>
    <dxf>
      <font>
        <color auto="1"/>
      </font>
      <fill>
        <patternFill>
          <bgColor rgb="FFF4F4F4"/>
        </patternFill>
      </fill>
      <border>
        <vertical/>
        <horizontal/>
      </border>
    </dxf>
    <dxf>
      <font>
        <color auto="1"/>
      </font>
      <fill>
        <patternFill>
          <bgColor theme="0"/>
        </patternFill>
      </fill>
    </dxf>
    <dxf>
      <font>
        <color auto="1"/>
      </font>
      <fill>
        <patternFill>
          <bgColor rgb="FFF4F4F4"/>
        </patternFill>
      </fill>
      <border>
        <vertical/>
        <horizontal/>
      </border>
    </dxf>
    <dxf>
      <font>
        <color auto="1"/>
      </font>
    </dxf>
    <dxf>
      <font>
        <color auto="1"/>
      </font>
      <fill>
        <patternFill>
          <bgColor rgb="FFF4F4F4"/>
        </patternFill>
      </fill>
      <border>
        <vertical/>
        <horizontal/>
      </border>
    </dxf>
    <dxf>
      <font>
        <color auto="1"/>
      </font>
      <fill>
        <patternFill>
          <bgColor theme="0"/>
        </patternFill>
      </fill>
    </dxf>
    <dxf>
      <font>
        <color auto="1"/>
      </font>
      <fill>
        <patternFill>
          <bgColor rgb="FFF4F4F4"/>
        </patternFill>
      </fill>
      <border>
        <vertical/>
        <horizontal/>
      </border>
    </dxf>
    <dxf>
      <font>
        <color auto="1"/>
      </font>
    </dxf>
    <dxf>
      <font>
        <color auto="1"/>
      </font>
      <fill>
        <patternFill>
          <bgColor rgb="FFF4F4F4"/>
        </patternFill>
      </fill>
      <border>
        <vertical/>
        <horizontal/>
      </border>
    </dxf>
    <dxf>
      <font>
        <color auto="1"/>
      </font>
      <fill>
        <patternFill>
          <bgColor theme="0"/>
        </patternFill>
      </fill>
    </dxf>
    <dxf>
      <font>
        <color auto="1"/>
      </font>
      <fill>
        <patternFill>
          <bgColor rgb="FFF4F4F4"/>
        </patternFill>
      </fill>
      <border>
        <vertical/>
        <horizontal/>
      </border>
    </dxf>
    <dxf>
      <font>
        <color auto="1"/>
      </font>
    </dxf>
    <dxf>
      <font>
        <color auto="1"/>
      </font>
      <fill>
        <patternFill>
          <bgColor rgb="FFF4F4F4"/>
        </patternFill>
      </fill>
      <border>
        <vertical/>
        <horizontal/>
      </border>
    </dxf>
    <dxf>
      <font>
        <color auto="1"/>
      </font>
      <fill>
        <patternFill>
          <bgColor theme="0"/>
        </patternFill>
      </fill>
    </dxf>
    <dxf>
      <font>
        <color auto="1"/>
      </font>
      <fill>
        <patternFill>
          <bgColor rgb="FFF4F4F4"/>
        </patternFill>
      </fill>
      <border>
        <vertical/>
        <horizontal/>
      </border>
    </dxf>
    <dxf>
      <font>
        <color auto="1"/>
      </font>
    </dxf>
    <dxf>
      <font>
        <color auto="1"/>
      </font>
      <fill>
        <patternFill>
          <bgColor rgb="FFF4F4F4"/>
        </patternFill>
      </fill>
      <border>
        <vertical/>
        <horizontal/>
      </border>
    </dxf>
    <dxf>
      <font>
        <color auto="1"/>
      </font>
      <fill>
        <patternFill>
          <bgColor theme="0"/>
        </patternFill>
      </fill>
    </dxf>
    <dxf>
      <font>
        <color auto="1"/>
      </font>
      <fill>
        <patternFill>
          <bgColor rgb="FFF4F4F4"/>
        </patternFill>
      </fill>
      <border>
        <vertical/>
        <horizontal/>
      </border>
    </dxf>
    <dxf>
      <font>
        <color auto="1"/>
      </font>
    </dxf>
    <dxf>
      <font>
        <color auto="1"/>
      </font>
      <fill>
        <patternFill>
          <bgColor rgb="FFF4F4F4"/>
        </patternFill>
      </fill>
      <border>
        <vertical/>
        <horizontal/>
      </border>
    </dxf>
    <dxf>
      <font>
        <color auto="1"/>
      </font>
      <fill>
        <patternFill>
          <bgColor theme="0"/>
        </patternFill>
      </fill>
    </dxf>
    <dxf>
      <font>
        <color auto="1"/>
      </font>
      <fill>
        <patternFill>
          <bgColor rgb="FFF4F4F4"/>
        </patternFill>
      </fill>
      <border>
        <vertical/>
        <horizontal/>
      </border>
    </dxf>
    <dxf>
      <font>
        <color auto="1"/>
      </font>
    </dxf>
    <dxf>
      <font>
        <color auto="1"/>
      </font>
      <fill>
        <patternFill>
          <bgColor rgb="FFF4F4F4"/>
        </patternFill>
      </fill>
      <border>
        <vertical/>
        <horizontal/>
      </border>
    </dxf>
    <dxf>
      <font>
        <color auto="1"/>
      </font>
      <fill>
        <patternFill>
          <bgColor theme="0"/>
        </patternFill>
      </fill>
    </dxf>
    <dxf>
      <font>
        <color auto="1"/>
      </font>
      <fill>
        <patternFill>
          <bgColor rgb="FFF4F4F4"/>
        </patternFill>
      </fill>
      <border>
        <vertical/>
        <horizontal/>
      </border>
    </dxf>
    <dxf>
      <font>
        <color auto="1"/>
      </font>
    </dxf>
    <dxf>
      <font>
        <color auto="1"/>
      </font>
      <fill>
        <patternFill>
          <bgColor rgb="FFF4F4F4"/>
        </patternFill>
      </fill>
      <border>
        <vertical/>
        <horizontal/>
      </border>
    </dxf>
    <dxf>
      <font>
        <color auto="1"/>
      </font>
      <fill>
        <patternFill>
          <bgColor theme="0"/>
        </patternFill>
      </fill>
    </dxf>
    <dxf>
      <font>
        <color auto="1"/>
      </font>
      <fill>
        <patternFill>
          <bgColor rgb="FFF4F4F4"/>
        </patternFill>
      </fill>
      <border>
        <vertical/>
        <horizontal/>
      </border>
    </dxf>
    <dxf>
      <font>
        <color auto="1"/>
      </font>
    </dxf>
    <dxf>
      <font>
        <color auto="1"/>
      </font>
      <fill>
        <patternFill>
          <bgColor rgb="FFF4F4F4"/>
        </patternFill>
      </fill>
      <border>
        <vertical/>
        <horizontal/>
      </border>
    </dxf>
    <dxf>
      <font>
        <color auto="1"/>
      </font>
      <fill>
        <patternFill>
          <bgColor theme="0"/>
        </patternFill>
      </fill>
    </dxf>
    <dxf>
      <font>
        <color auto="1"/>
      </font>
      <fill>
        <patternFill>
          <bgColor rgb="FFF4F4F4"/>
        </patternFill>
      </fill>
      <border>
        <vertical/>
        <horizontal/>
      </border>
    </dxf>
    <dxf>
      <font>
        <color auto="1"/>
      </font>
    </dxf>
    <dxf>
      <font>
        <color auto="1"/>
      </font>
      <fill>
        <patternFill>
          <bgColor rgb="FFF4F4F4"/>
        </patternFill>
      </fill>
      <border>
        <vertical/>
        <horizontal/>
      </border>
    </dxf>
    <dxf>
      <font>
        <color auto="1"/>
      </font>
      <fill>
        <patternFill>
          <bgColor theme="0"/>
        </patternFill>
      </fill>
    </dxf>
    <dxf>
      <font>
        <color auto="1"/>
      </font>
      <fill>
        <patternFill>
          <bgColor rgb="FFF4F4F4"/>
        </patternFill>
      </fill>
      <border>
        <vertical/>
        <horizontal/>
      </border>
    </dxf>
    <dxf>
      <font>
        <color auto="1"/>
      </font>
    </dxf>
    <dxf>
      <font>
        <color auto="1"/>
      </font>
      <fill>
        <patternFill>
          <bgColor theme="0"/>
        </patternFill>
      </fill>
    </dxf>
    <dxf>
      <font>
        <color auto="1"/>
      </font>
      <fill>
        <patternFill>
          <bgColor rgb="FFF4F4F4"/>
        </patternFill>
      </fill>
      <border>
        <vertical/>
        <horizontal/>
      </border>
    </dxf>
    <dxf>
      <font>
        <color auto="1"/>
      </font>
    </dxf>
    <dxf>
      <font>
        <color auto="1"/>
      </font>
      <fill>
        <patternFill>
          <bgColor rgb="FFF4F4F4"/>
        </patternFill>
      </fill>
      <border>
        <vertical/>
        <horizontal/>
      </border>
    </dxf>
    <dxf>
      <font>
        <color auto="1"/>
      </font>
      <fill>
        <patternFill>
          <bgColor theme="0"/>
        </patternFill>
      </fill>
    </dxf>
    <dxf>
      <font>
        <color auto="1"/>
      </font>
      <fill>
        <patternFill>
          <bgColor rgb="FFF4F4F4"/>
        </patternFill>
      </fill>
      <border>
        <vertical/>
        <horizontal/>
      </border>
    </dxf>
    <dxf>
      <font>
        <color auto="1"/>
      </font>
    </dxf>
    <dxf>
      <font>
        <color rgb="FFF4F4F4"/>
      </font>
      <fill>
        <patternFill>
          <bgColor rgb="FFF4F4F4"/>
        </patternFill>
      </fill>
      <border>
        <vertical/>
        <horizontal/>
      </border>
    </dxf>
    <dxf>
      <font>
        <color rgb="FFF4F4F4"/>
      </font>
      <fill>
        <patternFill>
          <bgColor rgb="FFF4F4F4"/>
        </patternFill>
      </fill>
      <border>
        <vertical/>
        <horizontal/>
      </border>
    </dxf>
    <dxf>
      <font>
        <color rgb="FFF4F4F4"/>
      </font>
      <fill>
        <patternFill>
          <bgColor rgb="FFF4F4F4"/>
        </patternFill>
      </fill>
      <border>
        <vertical/>
        <horizontal/>
      </border>
    </dxf>
    <dxf>
      <font>
        <color rgb="FFF4F4F4"/>
      </font>
      <fill>
        <patternFill>
          <bgColor rgb="FFF4F4F4"/>
        </patternFill>
      </fill>
      <border>
        <vertical/>
        <horizontal/>
      </border>
    </dxf>
    <dxf>
      <font>
        <color rgb="FFF4F4F4"/>
      </font>
      <fill>
        <patternFill>
          <bgColor rgb="FFF4F4F4"/>
        </patternFill>
      </fill>
      <border>
        <vertical/>
        <horizontal/>
      </border>
    </dxf>
    <dxf>
      <font>
        <color rgb="FFF4F4F4"/>
      </font>
      <fill>
        <patternFill>
          <bgColor rgb="FFF4F4F4"/>
        </patternFill>
      </fill>
      <border>
        <vertical/>
        <horizontal/>
      </border>
    </dxf>
    <dxf>
      <font>
        <color auto="1"/>
      </font>
      <fill>
        <patternFill>
          <bgColor rgb="FFF4F4F4"/>
        </patternFill>
      </fill>
      <border>
        <vertical/>
        <horizontal/>
      </border>
    </dxf>
    <dxf>
      <font>
        <color rgb="FFF4F4F4"/>
      </font>
      <fill>
        <patternFill>
          <bgColor rgb="FFF4F4F4"/>
        </patternFill>
      </fill>
      <border>
        <vertical/>
        <horizontal/>
      </border>
    </dxf>
    <dxf>
      <font>
        <color rgb="FFF4F4F4"/>
      </font>
      <fill>
        <patternFill>
          <bgColor rgb="FFF4F4F4"/>
        </patternFill>
      </fill>
      <border>
        <vertical/>
        <horizontal/>
      </border>
    </dxf>
    <dxf>
      <font>
        <color rgb="FFF4F4F4"/>
      </font>
      <fill>
        <patternFill>
          <bgColor rgb="FFF4F4F4"/>
        </patternFill>
      </fill>
      <border>
        <vertical/>
        <horizontal/>
      </border>
    </dxf>
    <dxf>
      <font>
        <color auto="1"/>
      </font>
      <fill>
        <patternFill>
          <bgColor rgb="FFF4F4F4"/>
        </patternFill>
      </fill>
      <border>
        <vertical/>
        <horizontal/>
      </border>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theme="0"/>
        </patternFill>
      </fill>
    </dxf>
    <dxf>
      <font>
        <color auto="1"/>
      </font>
      <fill>
        <patternFill>
          <bgColor theme="0"/>
        </patternFill>
      </fill>
    </dxf>
    <dxf>
      <font>
        <color auto="1"/>
      </font>
      <fill>
        <patternFill>
          <bgColor theme="0"/>
        </patternFill>
      </fill>
    </dxf>
    <dxf>
      <font>
        <color auto="1"/>
      </font>
      <fill>
        <patternFill>
          <bgColor theme="0"/>
        </patternFill>
      </fill>
    </dxf>
    <dxf>
      <font>
        <color auto="1"/>
      </font>
      <fill>
        <patternFill>
          <bgColor theme="0"/>
        </patternFill>
      </fill>
    </dxf>
    <dxf>
      <font>
        <color auto="1"/>
      </font>
      <fill>
        <patternFill>
          <bgColor theme="0"/>
        </patternFill>
      </fill>
    </dxf>
    <dxf>
      <font>
        <color auto="1"/>
      </font>
      <fill>
        <patternFill>
          <bgColor theme="0"/>
        </patternFill>
      </fill>
    </dxf>
    <dxf>
      <font>
        <color auto="1"/>
      </font>
      <fill>
        <patternFill>
          <bgColor theme="0"/>
        </patternFill>
      </fill>
    </dxf>
    <dxf>
      <font>
        <color auto="1"/>
      </font>
      <fill>
        <patternFill>
          <bgColor theme="0"/>
        </patternFill>
      </fill>
    </dxf>
    <dxf>
      <font>
        <color auto="1"/>
      </font>
      <fill>
        <patternFill>
          <bgColor theme="0"/>
        </patternFill>
      </fill>
    </dxf>
    <dxf>
      <font>
        <color auto="1"/>
      </font>
      <fill>
        <patternFill>
          <bgColor theme="0"/>
        </patternFill>
      </fill>
    </dxf>
    <dxf>
      <font>
        <color auto="1"/>
      </font>
      <fill>
        <patternFill>
          <bgColor theme="0"/>
        </patternFill>
      </fill>
    </dxf>
    <dxf>
      <font>
        <color auto="1"/>
      </font>
      <fill>
        <patternFill>
          <bgColor theme="0"/>
        </patternFill>
      </fill>
    </dxf>
    <dxf>
      <font>
        <color auto="1"/>
      </font>
      <fill>
        <patternFill>
          <bgColor theme="0"/>
        </patternFill>
      </fill>
    </dxf>
    <dxf>
      <font>
        <color auto="1"/>
      </font>
      <fill>
        <patternFill>
          <bgColor theme="0"/>
        </patternFill>
      </fill>
    </dxf>
    <dxf>
      <font>
        <color auto="1"/>
      </font>
      <fill>
        <patternFill>
          <bgColor theme="0"/>
        </patternFill>
      </fill>
    </dxf>
    <dxf>
      <font>
        <color auto="1"/>
      </font>
      <fill>
        <patternFill>
          <bgColor theme="0"/>
        </patternFill>
      </fill>
    </dxf>
    <dxf>
      <font>
        <color auto="1"/>
      </font>
      <fill>
        <patternFill>
          <bgColor theme="0"/>
        </patternFill>
      </fill>
    </dxf>
    <dxf>
      <font>
        <color auto="1"/>
      </font>
      <fill>
        <patternFill>
          <bgColor theme="0"/>
        </patternFill>
      </fill>
    </dxf>
    <dxf>
      <font>
        <color auto="1"/>
      </font>
      <fill>
        <patternFill>
          <bgColor theme="0"/>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ill>
        <patternFill>
          <bgColor theme="0" tint="-4.9989318521683403E-2"/>
        </patternFill>
      </fill>
    </dxf>
    <dxf>
      <font>
        <color auto="1"/>
      </font>
      <fill>
        <patternFill>
          <bgColor theme="0"/>
        </patternFill>
      </fill>
    </dxf>
    <dxf>
      <font>
        <color auto="1"/>
      </font>
      <fill>
        <patternFill>
          <bgColor theme="0"/>
        </patternFill>
      </fill>
    </dxf>
    <dxf>
      <font>
        <color auto="1"/>
      </font>
      <fill>
        <patternFill>
          <bgColor theme="0"/>
        </patternFill>
      </fill>
    </dxf>
    <dxf>
      <font>
        <color rgb="FFF4F4F4"/>
      </font>
      <fill>
        <patternFill>
          <bgColor rgb="FFF4F4F4"/>
        </patternFill>
      </fill>
      <border>
        <left/>
        <right/>
        <top/>
        <bottom/>
      </border>
    </dxf>
    <dxf>
      <font>
        <color rgb="FFF4F4F4"/>
      </font>
      <fill>
        <patternFill>
          <bgColor rgb="FFF4F4F4"/>
        </patternFill>
      </fill>
      <border>
        <left/>
        <right/>
        <top/>
        <bottom/>
        <vertical/>
        <horizontal/>
      </border>
    </dxf>
    <dxf>
      <font>
        <color auto="1"/>
      </font>
      <fill>
        <patternFill>
          <bgColor theme="0"/>
        </patternFill>
      </fill>
    </dxf>
    <dxf>
      <font>
        <color auto="1"/>
      </font>
      <fill>
        <patternFill>
          <bgColor theme="0"/>
        </patternFill>
      </fill>
    </dxf>
    <dxf>
      <font>
        <color auto="1"/>
      </font>
      <fill>
        <patternFill>
          <bgColor theme="0"/>
        </patternFill>
      </fill>
    </dxf>
    <dxf>
      <font>
        <color auto="1"/>
      </font>
      <fill>
        <patternFill>
          <bgColor theme="0"/>
        </patternFill>
      </fill>
    </dxf>
    <dxf>
      <font>
        <color auto="1"/>
      </font>
      <fill>
        <patternFill>
          <bgColor theme="0"/>
        </patternFill>
      </fill>
    </dxf>
    <dxf>
      <font>
        <color auto="1"/>
      </font>
      <fill>
        <patternFill>
          <bgColor theme="0"/>
        </patternFill>
      </fill>
    </dxf>
    <dxf>
      <font>
        <color auto="1"/>
      </font>
      <fill>
        <patternFill>
          <bgColor theme="0"/>
        </patternFill>
      </fill>
    </dxf>
    <dxf>
      <font>
        <color auto="1"/>
      </font>
      <fill>
        <patternFill>
          <bgColor theme="0"/>
        </patternFill>
      </fill>
    </dxf>
    <dxf>
      <font>
        <color auto="1"/>
      </font>
      <fill>
        <patternFill>
          <bgColor theme="0"/>
        </patternFill>
      </fill>
    </dxf>
    <dxf>
      <font>
        <color auto="1"/>
      </font>
      <fill>
        <patternFill>
          <bgColor theme="0"/>
        </patternFill>
      </fill>
    </dxf>
    <dxf>
      <font>
        <color auto="1"/>
      </font>
      <fill>
        <patternFill>
          <bgColor theme="0"/>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theme="0"/>
      </font>
      <fill>
        <patternFill>
          <bgColor rgb="FF5F6B6D"/>
        </patternFill>
      </fill>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
      <font>
        <color auto="1"/>
      </font>
      <fill>
        <patternFill>
          <bgColor rgb="FFFAE99F"/>
        </patternFill>
      </fill>
    </dxf>
  </dxfs>
  <tableStyles count="0" defaultTableStyle="TableStyleMedium2" defaultPivotStyle="PivotStyleLight16"/>
  <colors>
    <mruColors>
      <color rgb="FFFAE99F"/>
      <color rgb="FFFBECAB"/>
      <color rgb="FFF2C80F"/>
      <color rgb="FF192D3F"/>
      <color rgb="FFCFCFCF"/>
      <color rgb="FF485152"/>
      <color rgb="FFF2F2F2"/>
      <color rgb="FF5F6B6D"/>
      <color rgb="FF394041"/>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5"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3" Type="http://schemas.openxmlformats.org/officeDocument/2006/relationships/image" Target="../media/image3.png"/><Relationship Id="rId2" Type="http://schemas.microsoft.com/office/2011/relationships/chartColorStyle" Target="colors11.xml"/><Relationship Id="rId1" Type="http://schemas.microsoft.com/office/2011/relationships/chartStyle" Target="style11.xml"/></Relationships>
</file>

<file path=xl/charts/_rels/chart3.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4.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5.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6.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7.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8.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9.xml.rels><?xml version="1.0" encoding="UTF-8" standalone="yes"?>
<Relationships xmlns="http://schemas.openxmlformats.org/package/2006/relationships"><Relationship Id="rId3" Type="http://schemas.openxmlformats.org/officeDocument/2006/relationships/image" Target="../media/image3.png"/><Relationship Id="rId2" Type="http://schemas.microsoft.com/office/2011/relationships/chartColorStyle" Target="colors20.xml"/><Relationship Id="rId1" Type="http://schemas.microsoft.com/office/2011/relationships/chartStyle" Target="style20.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Ex10.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Ex11.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Ex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Ex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Ex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Ex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Ex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Ex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Ex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Ex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5F6B6D"/>
              </a:solidFill>
              <a:ln>
                <a:noFill/>
              </a:ln>
              <a:effectLst/>
            </c:spPr>
            <c:extLst>
              <c:ext xmlns:c16="http://schemas.microsoft.com/office/drawing/2014/chart" uri="{C3380CC4-5D6E-409C-BE32-E72D297353CC}">
                <c16:uniqueId val="{00000002-F8C5-4B50-9048-E4F1CBC16380}"/>
              </c:ext>
            </c:extLst>
          </c:dPt>
          <c:dPt>
            <c:idx val="1"/>
            <c:invertIfNegative val="0"/>
            <c:bubble3D val="0"/>
            <c:spPr>
              <a:solidFill>
                <a:srgbClr val="F2C80F"/>
              </a:solidFill>
              <a:ln>
                <a:noFill/>
              </a:ln>
              <a:effectLst/>
            </c:spPr>
            <c:extLst>
              <c:ext xmlns:c16="http://schemas.microsoft.com/office/drawing/2014/chart" uri="{C3380CC4-5D6E-409C-BE32-E72D297353CC}">
                <c16:uniqueId val="{00000001-F8C5-4B50-9048-E4F1CBC1638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F4F4F4"/>
                    </a:solidFill>
                    <a:latin typeface="Century Gothic" panose="020B050202020202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Biodiversity!$G$50:$H$50</c:f>
              <c:strCache>
                <c:ptCount val="2"/>
                <c:pt idx="0">
                  <c:v>Without project</c:v>
                </c:pt>
                <c:pt idx="1">
                  <c:v>With project</c:v>
                </c:pt>
              </c:strCache>
            </c:strRef>
          </c:cat>
          <c:val>
            <c:numRef>
              <c:f>Biodiversity!$G$51:$H$51</c:f>
              <c:numCache>
                <c:formatCode>#,##0</c:formatCode>
                <c:ptCount val="2"/>
                <c:pt idx="0">
                  <c:v>0</c:v>
                </c:pt>
                <c:pt idx="1">
                  <c:v>0</c:v>
                </c:pt>
              </c:numCache>
            </c:numRef>
          </c:val>
          <c:extLst>
            <c:ext xmlns:c16="http://schemas.microsoft.com/office/drawing/2014/chart" uri="{C3380CC4-5D6E-409C-BE32-E72D297353CC}">
              <c16:uniqueId val="{00000000-F8C5-4B50-9048-E4F1CBC16380}"/>
            </c:ext>
          </c:extLst>
        </c:ser>
        <c:dLbls>
          <c:showLegendKey val="0"/>
          <c:showVal val="0"/>
          <c:showCatName val="0"/>
          <c:showSerName val="0"/>
          <c:showPercent val="0"/>
          <c:showBubbleSize val="0"/>
        </c:dLbls>
        <c:gapWidth val="87"/>
        <c:overlap val="-27"/>
        <c:axId val="582130280"/>
        <c:axId val="582129624"/>
      </c:barChart>
      <c:catAx>
        <c:axId val="582130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582129624"/>
        <c:crosses val="autoZero"/>
        <c:auto val="1"/>
        <c:lblAlgn val="ctr"/>
        <c:lblOffset val="100"/>
        <c:noMultiLvlLbl val="0"/>
      </c:catAx>
      <c:valAx>
        <c:axId val="582129624"/>
        <c:scaling>
          <c:orientation val="minMax"/>
        </c:scaling>
        <c:delete val="1"/>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58213028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spPr>
            <a:solidFill>
              <a:srgbClr val="5F6B6D"/>
            </a:solidFill>
            <a:ln>
              <a:noFill/>
            </a:ln>
            <a:effectLst/>
          </c:spPr>
          <c:invertIfNegative val="0"/>
          <c:dLbls>
            <c:dLbl>
              <c:idx val="0"/>
              <c:tx>
                <c:rich>
                  <a:bodyPr/>
                  <a:lstStyle/>
                  <a:p>
                    <a:fld id="{925636F5-7547-4A87-B16C-DE6C6A628400}" type="CELLRANGE">
                      <a:rPr lang="en-GB"/>
                      <a:pPr/>
                      <a:t>[CELLRANGE]</a:t>
                    </a:fld>
                    <a:endParaRPr lang="en-GB"/>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3270-4E29-A24D-03D2E63DF9CC}"/>
                </c:ext>
              </c:extLst>
            </c:dLbl>
            <c:dLbl>
              <c:idx val="1"/>
              <c:tx>
                <c:rich>
                  <a:bodyPr/>
                  <a:lstStyle/>
                  <a:p>
                    <a:fld id="{C2079AFD-B2B7-49B1-A049-F1F5C1A471D6}" type="CELLRANGE">
                      <a:rPr lang="en-GB"/>
                      <a:pPr/>
                      <a:t>[CELLRANGE]</a:t>
                    </a:fld>
                    <a:endParaRPr lang="en-GB"/>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3270-4E29-A24D-03D2E63DF9CC}"/>
                </c:ext>
              </c:extLst>
            </c:dLbl>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bg1"/>
                    </a:solidFill>
                    <a:latin typeface="Century Gothic" panose="020B0502020202020204" pitchFamily="34" charset="0"/>
                    <a:ea typeface="+mn-ea"/>
                    <a:cs typeface="+mn-cs"/>
                  </a:defRPr>
                </a:pPr>
                <a:endParaRPr lang="en-US"/>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Biodiversity!$AH$54:$AI$54</c:f>
              <c:strCache>
                <c:ptCount val="2"/>
                <c:pt idx="0">
                  <c:v>With project</c:v>
                </c:pt>
                <c:pt idx="1">
                  <c:v>Without project</c:v>
                </c:pt>
              </c:strCache>
            </c:strRef>
          </c:cat>
          <c:val>
            <c:numRef>
              <c:f>Biodiversity!$AH$55:$AI$55</c:f>
              <c:numCache>
                <c:formatCode>#,##0</c:formatCode>
                <c:ptCount val="2"/>
                <c:pt idx="0">
                  <c:v>0</c:v>
                </c:pt>
                <c:pt idx="1">
                  <c:v>0</c:v>
                </c:pt>
              </c:numCache>
            </c:numRef>
          </c:val>
          <c:extLst>
            <c:ext xmlns:c15="http://schemas.microsoft.com/office/drawing/2012/chart" uri="{02D57815-91ED-43cb-92C2-25804820EDAC}">
              <c15:datalabelsRange>
                <c15:f>Biodiversity!$AH$59:$AI$59</c15:f>
                <c15:dlblRangeCache>
                  <c:ptCount val="2"/>
                  <c:pt idx="0">
                    <c:v>0 ha</c:v>
                  </c:pt>
                  <c:pt idx="1">
                    <c:v>0 ha</c:v>
                  </c:pt>
                </c15:dlblRangeCache>
              </c15:datalabelsRange>
            </c:ext>
            <c:ext xmlns:c16="http://schemas.microsoft.com/office/drawing/2014/chart" uri="{C3380CC4-5D6E-409C-BE32-E72D297353CC}">
              <c16:uniqueId val="{00000000-3270-4E29-A24D-03D2E63DF9CC}"/>
            </c:ext>
          </c:extLst>
        </c:ser>
        <c:ser>
          <c:idx val="1"/>
          <c:order val="1"/>
          <c:spPr>
            <a:blipFill>
              <a:blip xmlns:r="http://schemas.openxmlformats.org/officeDocument/2006/relationships" r:embed="rId3"/>
              <a:stretch>
                <a:fillRect/>
              </a:stretch>
            </a:blipFill>
            <a:ln>
              <a:noFill/>
            </a:ln>
            <a:effectLst/>
          </c:spPr>
          <c:invertIfNegative val="0"/>
          <c:dLbls>
            <c:delete val="1"/>
          </c:dLbls>
          <c:cat>
            <c:strRef>
              <c:f>Biodiversity!$AH$54:$AI$54</c:f>
              <c:strCache>
                <c:ptCount val="2"/>
                <c:pt idx="0">
                  <c:v>With project</c:v>
                </c:pt>
                <c:pt idx="1">
                  <c:v>Without project</c:v>
                </c:pt>
              </c:strCache>
            </c:strRef>
          </c:cat>
          <c:val>
            <c:numRef>
              <c:f>Biodiversity!$AH$56:$AI$56</c:f>
              <c:numCache>
                <c:formatCode>#,##0</c:formatCode>
                <c:ptCount val="2"/>
                <c:pt idx="0">
                  <c:v>0</c:v>
                </c:pt>
                <c:pt idx="1">
                  <c:v>0</c:v>
                </c:pt>
              </c:numCache>
            </c:numRef>
          </c:val>
          <c:extLst>
            <c:ext xmlns:c16="http://schemas.microsoft.com/office/drawing/2014/chart" uri="{C3380CC4-5D6E-409C-BE32-E72D297353CC}">
              <c16:uniqueId val="{00000001-3270-4E29-A24D-03D2E63DF9CC}"/>
            </c:ext>
          </c:extLst>
        </c:ser>
        <c:dLbls>
          <c:dLblPos val="ctr"/>
          <c:showLegendKey val="0"/>
          <c:showVal val="1"/>
          <c:showCatName val="0"/>
          <c:showSerName val="0"/>
          <c:showPercent val="0"/>
          <c:showBubbleSize val="0"/>
        </c:dLbls>
        <c:gapWidth val="40"/>
        <c:overlap val="100"/>
        <c:axId val="773752488"/>
        <c:axId val="773753144"/>
      </c:barChart>
      <c:catAx>
        <c:axId val="77375248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773753144"/>
        <c:crosses val="autoZero"/>
        <c:auto val="1"/>
        <c:lblAlgn val="ctr"/>
        <c:lblOffset val="100"/>
        <c:noMultiLvlLbl val="0"/>
      </c:catAx>
      <c:valAx>
        <c:axId val="773753144"/>
        <c:scaling>
          <c:orientation val="minMax"/>
        </c:scaling>
        <c:delete val="1"/>
        <c:axPos val="b"/>
        <c:numFmt formatCode="0%" sourceLinked="1"/>
        <c:majorTickMark val="none"/>
        <c:minorTickMark val="none"/>
        <c:tickLblPos val="nextTo"/>
        <c:crossAx val="773752488"/>
        <c:crosses val="autoZero"/>
        <c:crossBetween val="between"/>
      </c:valAx>
      <c:spPr>
        <a:noFill/>
        <a:ln>
          <a:noFill/>
        </a:ln>
        <a:effectLst/>
      </c:spPr>
    </c:plotArea>
    <c:plotVisOnly val="1"/>
    <c:dispBlanksAs val="gap"/>
    <c:showDLblsOverMax val="0"/>
  </c:chart>
  <c:spPr>
    <a:no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Fragmentation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Data!$K$11:$K$16</c:f>
              <c:numCache>
                <c:formatCode>General</c:formatCode>
                <c:ptCount val="6"/>
                <c:pt idx="0">
                  <c:v>0</c:v>
                </c:pt>
                <c:pt idx="1">
                  <c:v>100</c:v>
                </c:pt>
                <c:pt idx="2">
                  <c:v>1000</c:v>
                </c:pt>
                <c:pt idx="3">
                  <c:v>10000</c:v>
                </c:pt>
                <c:pt idx="4">
                  <c:v>100000</c:v>
                </c:pt>
                <c:pt idx="5">
                  <c:v>1000000</c:v>
                </c:pt>
              </c:numCache>
            </c:numRef>
          </c:xVal>
          <c:yVal>
            <c:numRef>
              <c:f>Data!$L$11:$L$16</c:f>
              <c:numCache>
                <c:formatCode>General</c:formatCode>
                <c:ptCount val="6"/>
                <c:pt idx="0">
                  <c:v>0.35</c:v>
                </c:pt>
                <c:pt idx="1">
                  <c:v>0.45</c:v>
                </c:pt>
                <c:pt idx="2">
                  <c:v>0.65</c:v>
                </c:pt>
                <c:pt idx="3">
                  <c:v>0.9</c:v>
                </c:pt>
                <c:pt idx="4">
                  <c:v>0.98</c:v>
                </c:pt>
                <c:pt idx="5">
                  <c:v>1</c:v>
                </c:pt>
              </c:numCache>
            </c:numRef>
          </c:yVal>
          <c:smooth val="0"/>
          <c:extLst>
            <c:ext xmlns:c16="http://schemas.microsoft.com/office/drawing/2014/chart" uri="{C3380CC4-5D6E-409C-BE32-E72D297353CC}">
              <c16:uniqueId val="{00000000-7C7D-47A2-AE10-0AC708FB1E3C}"/>
            </c:ext>
          </c:extLst>
        </c:ser>
        <c:dLbls>
          <c:showLegendKey val="0"/>
          <c:showVal val="0"/>
          <c:showCatName val="0"/>
          <c:showSerName val="0"/>
          <c:showPercent val="0"/>
          <c:showBubbleSize val="0"/>
        </c:dLbls>
        <c:axId val="8005839"/>
        <c:axId val="8012727"/>
      </c:scatterChart>
      <c:valAx>
        <c:axId val="8005839"/>
        <c:scaling>
          <c:orientation val="minMax"/>
          <c:max val="100000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12727"/>
        <c:crosses val="autoZero"/>
        <c:crossBetween val="midCat"/>
      </c:valAx>
      <c:valAx>
        <c:axId val="8012727"/>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05839"/>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strRef>
              <c:f>Biodiversity!$AE$44</c:f>
              <c:strCache>
                <c:ptCount val="1"/>
                <c:pt idx="0">
                  <c:v>Without Project</c:v>
                </c:pt>
              </c:strCache>
            </c:strRef>
          </c:tx>
          <c:spPr>
            <a:ln w="63500" cap="rnd">
              <a:solidFill>
                <a:srgbClr val="727D7F"/>
              </a:solidFill>
              <a:round/>
            </a:ln>
            <a:effectLst/>
          </c:spPr>
          <c:marker>
            <c:symbol val="circle"/>
            <c:size val="10"/>
            <c:spPr>
              <a:solidFill>
                <a:srgbClr val="727D7F"/>
              </a:solidFill>
              <a:ln w="9525">
                <a:noFill/>
              </a:ln>
              <a:effectLst/>
            </c:spPr>
          </c:marker>
          <c:dPt>
            <c:idx val="0"/>
            <c:marker>
              <c:symbol val="circle"/>
              <c:size val="30"/>
              <c:spPr>
                <a:solidFill>
                  <a:srgbClr val="727D7F"/>
                </a:solidFill>
                <a:ln w="9525">
                  <a:noFill/>
                </a:ln>
                <a:effectLst/>
              </c:spPr>
            </c:marker>
            <c:bubble3D val="0"/>
            <c:extLst>
              <c:ext xmlns:c16="http://schemas.microsoft.com/office/drawing/2014/chart" uri="{C3380CC4-5D6E-409C-BE32-E72D297353CC}">
                <c16:uniqueId val="{00000004-6A8F-4FBE-81C9-99ECC71DB210}"/>
              </c:ext>
            </c:extLst>
          </c:dPt>
          <c:cat>
            <c:strRef>
              <c:f>Biodiversity!$Y$45:$Y$49</c:f>
              <c:strCache>
                <c:ptCount val="5"/>
                <c:pt idx="0">
                  <c:v>MSA(final)</c:v>
                </c:pt>
                <c:pt idx="1">
                  <c:v>MSA(LU)</c:v>
                </c:pt>
                <c:pt idx="2">
                  <c:v>MSA(I)</c:v>
                </c:pt>
                <c:pt idx="3">
                  <c:v>MSA(F)</c:v>
                </c:pt>
                <c:pt idx="4">
                  <c:v>MSA(HE)</c:v>
                </c:pt>
              </c:strCache>
            </c:strRef>
          </c:cat>
          <c:val>
            <c:numRef>
              <c:f>Biodiversity!$AE$45:$AE$49</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0-6A8F-4FBE-81C9-99ECC71DB210}"/>
            </c:ext>
          </c:extLst>
        </c:ser>
        <c:ser>
          <c:idx val="1"/>
          <c:order val="1"/>
          <c:tx>
            <c:strRef>
              <c:f>Biodiversity!$AF$44</c:f>
              <c:strCache>
                <c:ptCount val="1"/>
                <c:pt idx="0">
                  <c:v>With Project</c:v>
                </c:pt>
              </c:strCache>
            </c:strRef>
          </c:tx>
          <c:spPr>
            <a:ln w="63500" cap="rnd">
              <a:solidFill>
                <a:srgbClr val="F2C80F"/>
              </a:solidFill>
              <a:round/>
            </a:ln>
            <a:effectLst/>
          </c:spPr>
          <c:marker>
            <c:symbol val="circle"/>
            <c:size val="10"/>
            <c:spPr>
              <a:solidFill>
                <a:srgbClr val="F2C80F"/>
              </a:solidFill>
              <a:ln w="9525">
                <a:noFill/>
              </a:ln>
              <a:effectLst/>
            </c:spPr>
          </c:marker>
          <c:dPt>
            <c:idx val="0"/>
            <c:marker>
              <c:symbol val="circle"/>
              <c:size val="30"/>
              <c:spPr>
                <a:solidFill>
                  <a:srgbClr val="F2C80F"/>
                </a:solidFill>
                <a:ln w="9525">
                  <a:noFill/>
                </a:ln>
                <a:effectLst/>
              </c:spPr>
            </c:marker>
            <c:bubble3D val="0"/>
            <c:extLst>
              <c:ext xmlns:c16="http://schemas.microsoft.com/office/drawing/2014/chart" uri="{C3380CC4-5D6E-409C-BE32-E72D297353CC}">
                <c16:uniqueId val="{00000003-6A8F-4FBE-81C9-99ECC71DB210}"/>
              </c:ext>
            </c:extLst>
          </c:dPt>
          <c:cat>
            <c:strRef>
              <c:f>Biodiversity!$Y$45:$Y$49</c:f>
              <c:strCache>
                <c:ptCount val="5"/>
                <c:pt idx="0">
                  <c:v>MSA(final)</c:v>
                </c:pt>
                <c:pt idx="1">
                  <c:v>MSA(LU)</c:v>
                </c:pt>
                <c:pt idx="2">
                  <c:v>MSA(I)</c:v>
                </c:pt>
                <c:pt idx="3">
                  <c:v>MSA(F)</c:v>
                </c:pt>
                <c:pt idx="4">
                  <c:v>MSA(HE)</c:v>
                </c:pt>
              </c:strCache>
            </c:strRef>
          </c:cat>
          <c:val>
            <c:numRef>
              <c:f>Biodiversity!$AF$45:$AF$49</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1-6A8F-4FBE-81C9-99ECC71DB210}"/>
            </c:ext>
          </c:extLst>
        </c:ser>
        <c:dLbls>
          <c:showLegendKey val="0"/>
          <c:showVal val="0"/>
          <c:showCatName val="0"/>
          <c:showSerName val="0"/>
          <c:showPercent val="0"/>
          <c:showBubbleSize val="0"/>
        </c:dLbls>
        <c:axId val="353087528"/>
        <c:axId val="353088512"/>
      </c:radarChart>
      <c:catAx>
        <c:axId val="353087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Roboto Light" panose="02000000000000000000" pitchFamily="2" charset="0"/>
                <a:ea typeface="Roboto Light" panose="02000000000000000000" pitchFamily="2" charset="0"/>
                <a:cs typeface="+mn-cs"/>
              </a:defRPr>
            </a:pPr>
            <a:endParaRPr lang="en-US"/>
          </a:p>
        </c:txPr>
        <c:crossAx val="353088512"/>
        <c:crosses val="autoZero"/>
        <c:auto val="1"/>
        <c:lblAlgn val="ctr"/>
        <c:lblOffset val="100"/>
        <c:noMultiLvlLbl val="0"/>
      </c:catAx>
      <c:valAx>
        <c:axId val="353088512"/>
        <c:scaling>
          <c:orientation val="minMax"/>
        </c:scaling>
        <c:delete val="1"/>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crossAx val="353087528"/>
        <c:crosses val="autoZero"/>
        <c:crossBetween val="between"/>
      </c:valAx>
      <c:spPr>
        <a:noFill/>
        <a:ln>
          <a:noFill/>
        </a:ln>
        <a:effectLst/>
      </c:spPr>
    </c:plotArea>
    <c:legend>
      <c:legendPos val="t"/>
      <c:layout>
        <c:manualLayout>
          <c:xMode val="edge"/>
          <c:yMode val="edge"/>
          <c:x val="0.26013622270966458"/>
          <c:y val="0.92901135792148082"/>
          <c:w val="0.50752096159060578"/>
          <c:h val="6.9987394601231809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Roboto Light" panose="02000000000000000000" pitchFamily="2" charset="0"/>
              <a:ea typeface="Roboto Light" panose="02000000000000000000" pitchFamily="2" charset="0"/>
              <a:cs typeface="+mn-cs"/>
            </a:defRPr>
          </a:pPr>
          <a:endParaRPr lang="en-US"/>
        </a:p>
      </c:txPr>
    </c:legend>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doughnutChart>
        <c:varyColors val="1"/>
        <c:ser>
          <c:idx val="0"/>
          <c:order val="0"/>
          <c:spPr>
            <a:ln>
              <a:noFill/>
            </a:ln>
          </c:spPr>
          <c:dPt>
            <c:idx val="0"/>
            <c:bubble3D val="0"/>
            <c:spPr>
              <a:solidFill>
                <a:schemeClr val="accent3"/>
              </a:solidFill>
              <a:ln w="19050">
                <a:noFill/>
              </a:ln>
              <a:effectLst/>
            </c:spPr>
            <c:extLst>
              <c:ext xmlns:c16="http://schemas.microsoft.com/office/drawing/2014/chart" uri="{C3380CC4-5D6E-409C-BE32-E72D297353CC}">
                <c16:uniqueId val="{00000001-3D03-42EF-A10E-17ADD3F4AD26}"/>
              </c:ext>
            </c:extLst>
          </c:dPt>
          <c:dPt>
            <c:idx val="1"/>
            <c:bubble3D val="0"/>
            <c:spPr>
              <a:solidFill>
                <a:srgbClr val="F2C80F"/>
              </a:solidFill>
              <a:ln w="19050">
                <a:noFill/>
              </a:ln>
              <a:effectLst/>
            </c:spPr>
            <c:extLst>
              <c:ext xmlns:c16="http://schemas.microsoft.com/office/drawing/2014/chart" uri="{C3380CC4-5D6E-409C-BE32-E72D297353CC}">
                <c16:uniqueId val="{00000003-3D03-42EF-A10E-17ADD3F4AD26}"/>
              </c:ext>
            </c:extLst>
          </c:dPt>
          <c:dPt>
            <c:idx val="2"/>
            <c:bubble3D val="0"/>
            <c:spPr>
              <a:solidFill>
                <a:srgbClr val="FF0000"/>
              </a:solidFill>
              <a:ln w="19050">
                <a:noFill/>
              </a:ln>
              <a:effectLst/>
            </c:spPr>
            <c:extLst>
              <c:ext xmlns:c16="http://schemas.microsoft.com/office/drawing/2014/chart" uri="{C3380CC4-5D6E-409C-BE32-E72D297353CC}">
                <c16:uniqueId val="{00000005-3D03-42EF-A10E-17ADD3F4AD26}"/>
              </c:ext>
            </c:extLst>
          </c:dPt>
          <c:dPt>
            <c:idx val="3"/>
            <c:bubble3D val="0"/>
            <c:spPr>
              <a:noFill/>
              <a:ln w="19050">
                <a:noFill/>
              </a:ln>
              <a:effectLst/>
            </c:spPr>
            <c:extLst>
              <c:ext xmlns:c16="http://schemas.microsoft.com/office/drawing/2014/chart" uri="{C3380CC4-5D6E-409C-BE32-E72D297353CC}">
                <c16:uniqueId val="{00000007-3D03-42EF-A10E-17ADD3F4AD26}"/>
              </c:ext>
            </c:extLst>
          </c:dPt>
          <c:cat>
            <c:strRef>
              <c:f>Biodiversity!$L$81:$L$84</c:f>
              <c:strCache>
                <c:ptCount val="4"/>
                <c:pt idx="0">
                  <c:v>KBA</c:v>
                </c:pt>
                <c:pt idx="1">
                  <c:v>Near</c:v>
                </c:pt>
                <c:pt idx="2">
                  <c:v>Not KBA</c:v>
                </c:pt>
                <c:pt idx="3">
                  <c:v>Empty</c:v>
                </c:pt>
              </c:strCache>
            </c:strRef>
          </c:cat>
          <c:val>
            <c:numRef>
              <c:f>Biodiversity!$M$81:$M$84</c:f>
              <c:numCache>
                <c:formatCode>General</c:formatCode>
                <c:ptCount val="4"/>
                <c:pt idx="0">
                  <c:v>60</c:v>
                </c:pt>
                <c:pt idx="1">
                  <c:v>60</c:v>
                </c:pt>
                <c:pt idx="2">
                  <c:v>60</c:v>
                </c:pt>
                <c:pt idx="3">
                  <c:v>180</c:v>
                </c:pt>
              </c:numCache>
            </c:numRef>
          </c:val>
          <c:extLst>
            <c:ext xmlns:c16="http://schemas.microsoft.com/office/drawing/2014/chart" uri="{C3380CC4-5D6E-409C-BE32-E72D297353CC}">
              <c16:uniqueId val="{00000008-3D03-42EF-A10E-17ADD3F4AD26}"/>
            </c:ext>
          </c:extLst>
        </c:ser>
        <c:dLbls>
          <c:showLegendKey val="0"/>
          <c:showVal val="0"/>
          <c:showCatName val="0"/>
          <c:showSerName val="0"/>
          <c:showPercent val="0"/>
          <c:showBubbleSize val="0"/>
          <c:showLeaderLines val="1"/>
        </c:dLbls>
        <c:firstSliceAng val="270"/>
        <c:holeSize val="75"/>
      </c:doughnutChart>
      <c:doughnutChart>
        <c:varyColors val="1"/>
        <c:ser>
          <c:idx val="1"/>
          <c:order val="1"/>
          <c:tx>
            <c:v>Pointer</c:v>
          </c:tx>
          <c:spPr>
            <a:ln>
              <a:noFill/>
            </a:ln>
          </c:spPr>
          <c:dPt>
            <c:idx val="0"/>
            <c:bubble3D val="0"/>
            <c:spPr>
              <a:noFill/>
              <a:ln w="19050">
                <a:noFill/>
              </a:ln>
              <a:effectLst/>
            </c:spPr>
            <c:extLst>
              <c:ext xmlns:c16="http://schemas.microsoft.com/office/drawing/2014/chart" uri="{C3380CC4-5D6E-409C-BE32-E72D297353CC}">
                <c16:uniqueId val="{00000011-3D03-42EF-A10E-17ADD3F4AD26}"/>
              </c:ext>
            </c:extLst>
          </c:dPt>
          <c:dPt>
            <c:idx val="1"/>
            <c:bubble3D val="0"/>
            <c:spPr>
              <a:solidFill>
                <a:schemeClr val="tx1"/>
              </a:solidFill>
              <a:ln w="19050">
                <a:noFill/>
              </a:ln>
              <a:effectLst/>
            </c:spPr>
            <c:extLst>
              <c:ext xmlns:c16="http://schemas.microsoft.com/office/drawing/2014/chart" uri="{C3380CC4-5D6E-409C-BE32-E72D297353CC}">
                <c16:uniqueId val="{00000013-3D03-42EF-A10E-17ADD3F4AD26}"/>
              </c:ext>
            </c:extLst>
          </c:dPt>
          <c:dPt>
            <c:idx val="2"/>
            <c:bubble3D val="0"/>
            <c:spPr>
              <a:noFill/>
              <a:ln w="19050">
                <a:noFill/>
              </a:ln>
              <a:effectLst/>
            </c:spPr>
            <c:extLst>
              <c:ext xmlns:c16="http://schemas.microsoft.com/office/drawing/2014/chart" uri="{C3380CC4-5D6E-409C-BE32-E72D297353CC}">
                <c16:uniqueId val="{00000012-3D03-42EF-A10E-17ADD3F4AD26}"/>
              </c:ext>
            </c:extLst>
          </c:dPt>
          <c:val>
            <c:numRef>
              <c:f>Biodiversity!$O$81:$O$83</c:f>
              <c:numCache>
                <c:formatCode>General</c:formatCode>
                <c:ptCount val="3"/>
                <c:pt idx="0">
                  <c:v>0</c:v>
                </c:pt>
                <c:pt idx="1">
                  <c:v>2</c:v>
                </c:pt>
                <c:pt idx="2">
                  <c:v>180</c:v>
                </c:pt>
              </c:numCache>
            </c:numRef>
          </c:val>
          <c:extLst>
            <c:ext xmlns:c16="http://schemas.microsoft.com/office/drawing/2014/chart" uri="{C3380CC4-5D6E-409C-BE32-E72D297353CC}">
              <c16:uniqueId val="{00000010-3D03-42EF-A10E-17ADD3F4AD26}"/>
            </c:ext>
          </c:extLst>
        </c:ser>
        <c:dLbls>
          <c:showLegendKey val="0"/>
          <c:showVal val="0"/>
          <c:showCatName val="0"/>
          <c:showSerName val="0"/>
          <c:showPercent val="0"/>
          <c:showBubbleSize val="0"/>
          <c:showLeaderLines val="1"/>
        </c:dLbls>
        <c:firstSliceAng val="270"/>
        <c:holeSize val="5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doughnutChart>
        <c:varyColors val="1"/>
        <c:ser>
          <c:idx val="0"/>
          <c:order val="0"/>
          <c:spPr>
            <a:ln>
              <a:noFill/>
            </a:ln>
          </c:spPr>
          <c:dPt>
            <c:idx val="0"/>
            <c:bubble3D val="0"/>
            <c:spPr>
              <a:solidFill>
                <a:schemeClr val="accent3"/>
              </a:solidFill>
              <a:ln w="19050">
                <a:noFill/>
              </a:ln>
              <a:effectLst/>
            </c:spPr>
            <c:extLst>
              <c:ext xmlns:c16="http://schemas.microsoft.com/office/drawing/2014/chart" uri="{C3380CC4-5D6E-409C-BE32-E72D297353CC}">
                <c16:uniqueId val="{00000001-7EBD-417B-8685-B0E28FA3F834}"/>
              </c:ext>
            </c:extLst>
          </c:dPt>
          <c:dPt>
            <c:idx val="1"/>
            <c:bubble3D val="0"/>
            <c:spPr>
              <a:solidFill>
                <a:srgbClr val="F2C80F"/>
              </a:solidFill>
              <a:ln w="19050">
                <a:noFill/>
              </a:ln>
              <a:effectLst/>
            </c:spPr>
            <c:extLst>
              <c:ext xmlns:c16="http://schemas.microsoft.com/office/drawing/2014/chart" uri="{C3380CC4-5D6E-409C-BE32-E72D297353CC}">
                <c16:uniqueId val="{00000003-7EBD-417B-8685-B0E28FA3F834}"/>
              </c:ext>
            </c:extLst>
          </c:dPt>
          <c:dPt>
            <c:idx val="2"/>
            <c:bubble3D val="0"/>
            <c:spPr>
              <a:solidFill>
                <a:srgbClr val="FF0000"/>
              </a:solidFill>
              <a:ln w="19050">
                <a:noFill/>
              </a:ln>
              <a:effectLst/>
            </c:spPr>
            <c:extLst>
              <c:ext xmlns:c16="http://schemas.microsoft.com/office/drawing/2014/chart" uri="{C3380CC4-5D6E-409C-BE32-E72D297353CC}">
                <c16:uniqueId val="{00000005-7EBD-417B-8685-B0E28FA3F834}"/>
              </c:ext>
            </c:extLst>
          </c:dPt>
          <c:dPt>
            <c:idx val="3"/>
            <c:bubble3D val="0"/>
            <c:spPr>
              <a:noFill/>
              <a:ln w="19050">
                <a:noFill/>
              </a:ln>
              <a:effectLst/>
            </c:spPr>
            <c:extLst>
              <c:ext xmlns:c16="http://schemas.microsoft.com/office/drawing/2014/chart" uri="{C3380CC4-5D6E-409C-BE32-E72D297353CC}">
                <c16:uniqueId val="{00000007-7EBD-417B-8685-B0E28FA3F834}"/>
              </c:ext>
            </c:extLst>
          </c:dPt>
          <c:cat>
            <c:strRef>
              <c:f>Biodiversity!$Q$81:$Q$84</c:f>
              <c:strCache>
                <c:ptCount val="4"/>
                <c:pt idx="0">
                  <c:v>PA</c:v>
                </c:pt>
                <c:pt idx="1">
                  <c:v>Near</c:v>
                </c:pt>
                <c:pt idx="2">
                  <c:v>Not KBA</c:v>
                </c:pt>
                <c:pt idx="3">
                  <c:v>Empty</c:v>
                </c:pt>
              </c:strCache>
            </c:strRef>
          </c:cat>
          <c:val>
            <c:numRef>
              <c:f>Biodiversity!$R$81:$R$84</c:f>
              <c:numCache>
                <c:formatCode>General</c:formatCode>
                <c:ptCount val="4"/>
                <c:pt idx="0">
                  <c:v>60</c:v>
                </c:pt>
                <c:pt idx="1">
                  <c:v>60</c:v>
                </c:pt>
                <c:pt idx="2">
                  <c:v>60</c:v>
                </c:pt>
                <c:pt idx="3">
                  <c:v>180</c:v>
                </c:pt>
              </c:numCache>
            </c:numRef>
          </c:val>
          <c:extLst>
            <c:ext xmlns:c16="http://schemas.microsoft.com/office/drawing/2014/chart" uri="{C3380CC4-5D6E-409C-BE32-E72D297353CC}">
              <c16:uniqueId val="{00000008-7EBD-417B-8685-B0E28FA3F834}"/>
            </c:ext>
          </c:extLst>
        </c:ser>
        <c:dLbls>
          <c:showLegendKey val="0"/>
          <c:showVal val="0"/>
          <c:showCatName val="0"/>
          <c:showSerName val="0"/>
          <c:showPercent val="0"/>
          <c:showBubbleSize val="0"/>
          <c:showLeaderLines val="1"/>
        </c:dLbls>
        <c:firstSliceAng val="270"/>
        <c:holeSize val="75"/>
      </c:doughnutChart>
      <c:doughnutChart>
        <c:varyColors val="1"/>
        <c:ser>
          <c:idx val="1"/>
          <c:order val="1"/>
          <c:tx>
            <c:v>Pointer</c:v>
          </c:tx>
          <c:spPr>
            <a:ln>
              <a:noFill/>
            </a:ln>
          </c:spPr>
          <c:dPt>
            <c:idx val="0"/>
            <c:bubble3D val="0"/>
            <c:spPr>
              <a:noFill/>
              <a:ln w="19050">
                <a:noFill/>
              </a:ln>
              <a:effectLst/>
            </c:spPr>
            <c:extLst>
              <c:ext xmlns:c16="http://schemas.microsoft.com/office/drawing/2014/chart" uri="{C3380CC4-5D6E-409C-BE32-E72D297353CC}">
                <c16:uniqueId val="{0000000A-7EBD-417B-8685-B0E28FA3F834}"/>
              </c:ext>
            </c:extLst>
          </c:dPt>
          <c:dPt>
            <c:idx val="1"/>
            <c:bubble3D val="0"/>
            <c:spPr>
              <a:solidFill>
                <a:schemeClr val="tx1"/>
              </a:solidFill>
              <a:ln w="19050">
                <a:noFill/>
              </a:ln>
              <a:effectLst/>
            </c:spPr>
            <c:extLst>
              <c:ext xmlns:c16="http://schemas.microsoft.com/office/drawing/2014/chart" uri="{C3380CC4-5D6E-409C-BE32-E72D297353CC}">
                <c16:uniqueId val="{0000000C-7EBD-417B-8685-B0E28FA3F834}"/>
              </c:ext>
            </c:extLst>
          </c:dPt>
          <c:dPt>
            <c:idx val="2"/>
            <c:bubble3D val="0"/>
            <c:spPr>
              <a:noFill/>
              <a:ln w="19050">
                <a:noFill/>
              </a:ln>
              <a:effectLst/>
            </c:spPr>
            <c:extLst>
              <c:ext xmlns:c16="http://schemas.microsoft.com/office/drawing/2014/chart" uri="{C3380CC4-5D6E-409C-BE32-E72D297353CC}">
                <c16:uniqueId val="{0000000E-7EBD-417B-8685-B0E28FA3F834}"/>
              </c:ext>
            </c:extLst>
          </c:dPt>
          <c:val>
            <c:numRef>
              <c:f>Biodiversity!$T$81:$T$83</c:f>
              <c:numCache>
                <c:formatCode>General</c:formatCode>
                <c:ptCount val="3"/>
                <c:pt idx="0">
                  <c:v>0</c:v>
                </c:pt>
                <c:pt idx="1">
                  <c:v>2</c:v>
                </c:pt>
                <c:pt idx="2">
                  <c:v>180</c:v>
                </c:pt>
              </c:numCache>
            </c:numRef>
          </c:val>
          <c:extLst>
            <c:ext xmlns:c16="http://schemas.microsoft.com/office/drawing/2014/chart" uri="{C3380CC4-5D6E-409C-BE32-E72D297353CC}">
              <c16:uniqueId val="{0000000F-7EBD-417B-8685-B0E28FA3F834}"/>
            </c:ext>
          </c:extLst>
        </c:ser>
        <c:dLbls>
          <c:showLegendKey val="0"/>
          <c:showVal val="0"/>
          <c:showCatName val="0"/>
          <c:showSerName val="0"/>
          <c:showPercent val="0"/>
          <c:showBubbleSize val="0"/>
          <c:showLeaderLines val="1"/>
        </c:dLbls>
        <c:firstSliceAng val="270"/>
        <c:holeSize val="5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doughnutChart>
        <c:varyColors val="1"/>
        <c:ser>
          <c:idx val="0"/>
          <c:order val="0"/>
          <c:spPr>
            <a:ln>
              <a:noFill/>
            </a:ln>
          </c:spPr>
          <c:dPt>
            <c:idx val="0"/>
            <c:bubble3D val="0"/>
            <c:spPr>
              <a:solidFill>
                <a:schemeClr val="accent2">
                  <a:tint val="32000"/>
                </a:schemeClr>
              </a:solidFill>
              <a:ln w="19050">
                <a:noFill/>
              </a:ln>
              <a:effectLst/>
            </c:spPr>
            <c:extLst>
              <c:ext xmlns:c16="http://schemas.microsoft.com/office/drawing/2014/chart" uri="{C3380CC4-5D6E-409C-BE32-E72D297353CC}">
                <c16:uniqueId val="{00000001-C33C-4DBE-9112-690D0DF60A9C}"/>
              </c:ext>
            </c:extLst>
          </c:dPt>
          <c:dPt>
            <c:idx val="1"/>
            <c:bubble3D val="0"/>
            <c:spPr>
              <a:solidFill>
                <a:schemeClr val="accent2">
                  <a:tint val="33000"/>
                </a:schemeClr>
              </a:solidFill>
              <a:ln w="19050">
                <a:noFill/>
              </a:ln>
              <a:effectLst/>
            </c:spPr>
            <c:extLst>
              <c:ext xmlns:c16="http://schemas.microsoft.com/office/drawing/2014/chart" uri="{C3380CC4-5D6E-409C-BE32-E72D297353CC}">
                <c16:uniqueId val="{00000003-C33C-4DBE-9112-690D0DF60A9C}"/>
              </c:ext>
            </c:extLst>
          </c:dPt>
          <c:dPt>
            <c:idx val="2"/>
            <c:bubble3D val="0"/>
            <c:spPr>
              <a:solidFill>
                <a:schemeClr val="accent2">
                  <a:tint val="35000"/>
                </a:schemeClr>
              </a:solidFill>
              <a:ln w="19050">
                <a:noFill/>
              </a:ln>
              <a:effectLst/>
            </c:spPr>
            <c:extLst>
              <c:ext xmlns:c16="http://schemas.microsoft.com/office/drawing/2014/chart" uri="{C3380CC4-5D6E-409C-BE32-E72D297353CC}">
                <c16:uniqueId val="{00000005-C33C-4DBE-9112-690D0DF60A9C}"/>
              </c:ext>
            </c:extLst>
          </c:dPt>
          <c:dPt>
            <c:idx val="3"/>
            <c:bubble3D val="0"/>
            <c:spPr>
              <a:solidFill>
                <a:schemeClr val="accent2">
                  <a:tint val="36000"/>
                </a:schemeClr>
              </a:solidFill>
              <a:ln w="19050">
                <a:noFill/>
              </a:ln>
              <a:effectLst/>
            </c:spPr>
            <c:extLst>
              <c:ext xmlns:c16="http://schemas.microsoft.com/office/drawing/2014/chart" uri="{C3380CC4-5D6E-409C-BE32-E72D297353CC}">
                <c16:uniqueId val="{00000007-C33C-4DBE-9112-690D0DF60A9C}"/>
              </c:ext>
            </c:extLst>
          </c:dPt>
          <c:dPt>
            <c:idx val="4"/>
            <c:bubble3D val="0"/>
            <c:spPr>
              <a:solidFill>
                <a:schemeClr val="accent2">
                  <a:tint val="37000"/>
                </a:schemeClr>
              </a:solidFill>
              <a:ln w="19050">
                <a:noFill/>
              </a:ln>
              <a:effectLst/>
            </c:spPr>
            <c:extLst>
              <c:ext xmlns:c16="http://schemas.microsoft.com/office/drawing/2014/chart" uri="{C3380CC4-5D6E-409C-BE32-E72D297353CC}">
                <c16:uniqueId val="{00000009-DA10-413F-BA15-58D6314A2533}"/>
              </c:ext>
            </c:extLst>
          </c:dPt>
          <c:dPt>
            <c:idx val="5"/>
            <c:bubble3D val="0"/>
            <c:spPr>
              <a:solidFill>
                <a:schemeClr val="accent2">
                  <a:tint val="39000"/>
                </a:schemeClr>
              </a:solidFill>
              <a:ln w="19050">
                <a:noFill/>
              </a:ln>
              <a:effectLst/>
            </c:spPr>
            <c:extLst>
              <c:ext xmlns:c16="http://schemas.microsoft.com/office/drawing/2014/chart" uri="{C3380CC4-5D6E-409C-BE32-E72D297353CC}">
                <c16:uniqueId val="{0000000B-DA10-413F-BA15-58D6314A2533}"/>
              </c:ext>
            </c:extLst>
          </c:dPt>
          <c:dPt>
            <c:idx val="6"/>
            <c:bubble3D val="0"/>
            <c:spPr>
              <a:solidFill>
                <a:schemeClr val="accent2">
                  <a:tint val="40000"/>
                </a:schemeClr>
              </a:solidFill>
              <a:ln w="19050">
                <a:noFill/>
              </a:ln>
              <a:effectLst/>
            </c:spPr>
            <c:extLst>
              <c:ext xmlns:c16="http://schemas.microsoft.com/office/drawing/2014/chart" uri="{C3380CC4-5D6E-409C-BE32-E72D297353CC}">
                <c16:uniqueId val="{0000000D-DA10-413F-BA15-58D6314A2533}"/>
              </c:ext>
            </c:extLst>
          </c:dPt>
          <c:dPt>
            <c:idx val="7"/>
            <c:bubble3D val="0"/>
            <c:spPr>
              <a:solidFill>
                <a:schemeClr val="accent2">
                  <a:tint val="41000"/>
                </a:schemeClr>
              </a:solidFill>
              <a:ln w="19050">
                <a:noFill/>
              </a:ln>
              <a:effectLst/>
            </c:spPr>
            <c:extLst>
              <c:ext xmlns:c16="http://schemas.microsoft.com/office/drawing/2014/chart" uri="{C3380CC4-5D6E-409C-BE32-E72D297353CC}">
                <c16:uniqueId val="{0000000F-DA10-413F-BA15-58D6314A2533}"/>
              </c:ext>
            </c:extLst>
          </c:dPt>
          <c:dPt>
            <c:idx val="8"/>
            <c:bubble3D val="0"/>
            <c:spPr>
              <a:solidFill>
                <a:schemeClr val="accent2">
                  <a:tint val="43000"/>
                </a:schemeClr>
              </a:solidFill>
              <a:ln w="19050">
                <a:noFill/>
              </a:ln>
              <a:effectLst/>
            </c:spPr>
            <c:extLst>
              <c:ext xmlns:c16="http://schemas.microsoft.com/office/drawing/2014/chart" uri="{C3380CC4-5D6E-409C-BE32-E72D297353CC}">
                <c16:uniqueId val="{00000011-DA10-413F-BA15-58D6314A2533}"/>
              </c:ext>
            </c:extLst>
          </c:dPt>
          <c:dPt>
            <c:idx val="9"/>
            <c:bubble3D val="0"/>
            <c:spPr>
              <a:solidFill>
                <a:schemeClr val="accent2">
                  <a:tint val="44000"/>
                </a:schemeClr>
              </a:solidFill>
              <a:ln w="19050">
                <a:noFill/>
              </a:ln>
              <a:effectLst/>
            </c:spPr>
            <c:extLst>
              <c:ext xmlns:c16="http://schemas.microsoft.com/office/drawing/2014/chart" uri="{C3380CC4-5D6E-409C-BE32-E72D297353CC}">
                <c16:uniqueId val="{00000013-DA10-413F-BA15-58D6314A2533}"/>
              </c:ext>
            </c:extLst>
          </c:dPt>
          <c:dPt>
            <c:idx val="10"/>
            <c:bubble3D val="0"/>
            <c:spPr>
              <a:solidFill>
                <a:schemeClr val="accent2">
                  <a:tint val="46000"/>
                </a:schemeClr>
              </a:solidFill>
              <a:ln w="19050">
                <a:noFill/>
              </a:ln>
              <a:effectLst/>
            </c:spPr>
            <c:extLst>
              <c:ext xmlns:c16="http://schemas.microsoft.com/office/drawing/2014/chart" uri="{C3380CC4-5D6E-409C-BE32-E72D297353CC}">
                <c16:uniqueId val="{00000015-DA10-413F-BA15-58D6314A2533}"/>
              </c:ext>
            </c:extLst>
          </c:dPt>
          <c:dPt>
            <c:idx val="11"/>
            <c:bubble3D val="0"/>
            <c:spPr>
              <a:solidFill>
                <a:schemeClr val="accent2">
                  <a:tint val="47000"/>
                </a:schemeClr>
              </a:solidFill>
              <a:ln w="19050">
                <a:noFill/>
              </a:ln>
              <a:effectLst/>
            </c:spPr>
            <c:extLst>
              <c:ext xmlns:c16="http://schemas.microsoft.com/office/drawing/2014/chart" uri="{C3380CC4-5D6E-409C-BE32-E72D297353CC}">
                <c16:uniqueId val="{00000017-DA10-413F-BA15-58D6314A2533}"/>
              </c:ext>
            </c:extLst>
          </c:dPt>
          <c:dPt>
            <c:idx val="12"/>
            <c:bubble3D val="0"/>
            <c:spPr>
              <a:solidFill>
                <a:schemeClr val="accent2">
                  <a:tint val="48000"/>
                </a:schemeClr>
              </a:solidFill>
              <a:ln w="19050">
                <a:noFill/>
              </a:ln>
              <a:effectLst/>
            </c:spPr>
            <c:extLst>
              <c:ext xmlns:c16="http://schemas.microsoft.com/office/drawing/2014/chart" uri="{C3380CC4-5D6E-409C-BE32-E72D297353CC}">
                <c16:uniqueId val="{00000019-DA10-413F-BA15-58D6314A2533}"/>
              </c:ext>
            </c:extLst>
          </c:dPt>
          <c:dPt>
            <c:idx val="13"/>
            <c:bubble3D val="0"/>
            <c:spPr>
              <a:solidFill>
                <a:schemeClr val="accent2">
                  <a:tint val="50000"/>
                </a:schemeClr>
              </a:solidFill>
              <a:ln w="19050">
                <a:noFill/>
              </a:ln>
              <a:effectLst/>
            </c:spPr>
            <c:extLst>
              <c:ext xmlns:c16="http://schemas.microsoft.com/office/drawing/2014/chart" uri="{C3380CC4-5D6E-409C-BE32-E72D297353CC}">
                <c16:uniqueId val="{0000001B-DA10-413F-BA15-58D6314A2533}"/>
              </c:ext>
            </c:extLst>
          </c:dPt>
          <c:dPt>
            <c:idx val="14"/>
            <c:bubble3D val="0"/>
            <c:spPr>
              <a:solidFill>
                <a:schemeClr val="accent2">
                  <a:tint val="51000"/>
                </a:schemeClr>
              </a:solidFill>
              <a:ln w="19050">
                <a:noFill/>
              </a:ln>
              <a:effectLst/>
            </c:spPr>
            <c:extLst>
              <c:ext xmlns:c16="http://schemas.microsoft.com/office/drawing/2014/chart" uri="{C3380CC4-5D6E-409C-BE32-E72D297353CC}">
                <c16:uniqueId val="{0000001D-DA10-413F-BA15-58D6314A2533}"/>
              </c:ext>
            </c:extLst>
          </c:dPt>
          <c:dPt>
            <c:idx val="15"/>
            <c:bubble3D val="0"/>
            <c:spPr>
              <a:solidFill>
                <a:schemeClr val="accent2">
                  <a:tint val="52000"/>
                </a:schemeClr>
              </a:solidFill>
              <a:ln w="19050">
                <a:noFill/>
              </a:ln>
              <a:effectLst/>
            </c:spPr>
            <c:extLst>
              <c:ext xmlns:c16="http://schemas.microsoft.com/office/drawing/2014/chart" uri="{C3380CC4-5D6E-409C-BE32-E72D297353CC}">
                <c16:uniqueId val="{0000001F-DA10-413F-BA15-58D6314A2533}"/>
              </c:ext>
            </c:extLst>
          </c:dPt>
          <c:dPt>
            <c:idx val="16"/>
            <c:bubble3D val="0"/>
            <c:spPr>
              <a:solidFill>
                <a:schemeClr val="accent2">
                  <a:tint val="54000"/>
                </a:schemeClr>
              </a:solidFill>
              <a:ln w="19050">
                <a:noFill/>
              </a:ln>
              <a:effectLst/>
            </c:spPr>
            <c:extLst>
              <c:ext xmlns:c16="http://schemas.microsoft.com/office/drawing/2014/chart" uri="{C3380CC4-5D6E-409C-BE32-E72D297353CC}">
                <c16:uniqueId val="{00000021-DA10-413F-BA15-58D6314A2533}"/>
              </c:ext>
            </c:extLst>
          </c:dPt>
          <c:dPt>
            <c:idx val="17"/>
            <c:bubble3D val="0"/>
            <c:spPr>
              <a:solidFill>
                <a:schemeClr val="accent2">
                  <a:tint val="55000"/>
                </a:schemeClr>
              </a:solidFill>
              <a:ln w="19050">
                <a:noFill/>
              </a:ln>
              <a:effectLst/>
            </c:spPr>
            <c:extLst>
              <c:ext xmlns:c16="http://schemas.microsoft.com/office/drawing/2014/chart" uri="{C3380CC4-5D6E-409C-BE32-E72D297353CC}">
                <c16:uniqueId val="{00000023-DA10-413F-BA15-58D6314A2533}"/>
              </c:ext>
            </c:extLst>
          </c:dPt>
          <c:dPt>
            <c:idx val="18"/>
            <c:bubble3D val="0"/>
            <c:spPr>
              <a:solidFill>
                <a:schemeClr val="accent2">
                  <a:tint val="57000"/>
                </a:schemeClr>
              </a:solidFill>
              <a:ln w="19050">
                <a:noFill/>
              </a:ln>
              <a:effectLst/>
            </c:spPr>
            <c:extLst>
              <c:ext xmlns:c16="http://schemas.microsoft.com/office/drawing/2014/chart" uri="{C3380CC4-5D6E-409C-BE32-E72D297353CC}">
                <c16:uniqueId val="{00000025-DA10-413F-BA15-58D6314A2533}"/>
              </c:ext>
            </c:extLst>
          </c:dPt>
          <c:dPt>
            <c:idx val="19"/>
            <c:bubble3D val="0"/>
            <c:spPr>
              <a:solidFill>
                <a:schemeClr val="accent2">
                  <a:tint val="58000"/>
                </a:schemeClr>
              </a:solidFill>
              <a:ln w="19050">
                <a:noFill/>
              </a:ln>
              <a:effectLst/>
            </c:spPr>
            <c:extLst>
              <c:ext xmlns:c16="http://schemas.microsoft.com/office/drawing/2014/chart" uri="{C3380CC4-5D6E-409C-BE32-E72D297353CC}">
                <c16:uniqueId val="{00000027-DA10-413F-BA15-58D6314A2533}"/>
              </c:ext>
            </c:extLst>
          </c:dPt>
          <c:dPt>
            <c:idx val="20"/>
            <c:bubble3D val="0"/>
            <c:spPr>
              <a:solidFill>
                <a:schemeClr val="accent2">
                  <a:tint val="59000"/>
                </a:schemeClr>
              </a:solidFill>
              <a:ln w="19050">
                <a:noFill/>
              </a:ln>
              <a:effectLst/>
            </c:spPr>
            <c:extLst>
              <c:ext xmlns:c16="http://schemas.microsoft.com/office/drawing/2014/chart" uri="{C3380CC4-5D6E-409C-BE32-E72D297353CC}">
                <c16:uniqueId val="{00000029-DA10-413F-BA15-58D6314A2533}"/>
              </c:ext>
            </c:extLst>
          </c:dPt>
          <c:dPt>
            <c:idx val="21"/>
            <c:bubble3D val="0"/>
            <c:spPr>
              <a:solidFill>
                <a:schemeClr val="accent2">
                  <a:tint val="61000"/>
                </a:schemeClr>
              </a:solidFill>
              <a:ln w="19050">
                <a:noFill/>
              </a:ln>
              <a:effectLst/>
            </c:spPr>
            <c:extLst>
              <c:ext xmlns:c16="http://schemas.microsoft.com/office/drawing/2014/chart" uri="{C3380CC4-5D6E-409C-BE32-E72D297353CC}">
                <c16:uniqueId val="{0000002B-DA10-413F-BA15-58D6314A2533}"/>
              </c:ext>
            </c:extLst>
          </c:dPt>
          <c:dPt>
            <c:idx val="22"/>
            <c:bubble3D val="0"/>
            <c:spPr>
              <a:solidFill>
                <a:schemeClr val="accent2">
                  <a:tint val="62000"/>
                </a:schemeClr>
              </a:solidFill>
              <a:ln w="19050">
                <a:noFill/>
              </a:ln>
              <a:effectLst/>
            </c:spPr>
            <c:extLst>
              <c:ext xmlns:c16="http://schemas.microsoft.com/office/drawing/2014/chart" uri="{C3380CC4-5D6E-409C-BE32-E72D297353CC}">
                <c16:uniqueId val="{0000002D-DA10-413F-BA15-58D6314A2533}"/>
              </c:ext>
            </c:extLst>
          </c:dPt>
          <c:dPt>
            <c:idx val="23"/>
            <c:bubble3D val="0"/>
            <c:spPr>
              <a:solidFill>
                <a:schemeClr val="accent2">
                  <a:tint val="63000"/>
                </a:schemeClr>
              </a:solidFill>
              <a:ln w="19050">
                <a:noFill/>
              </a:ln>
              <a:effectLst/>
            </c:spPr>
            <c:extLst>
              <c:ext xmlns:c16="http://schemas.microsoft.com/office/drawing/2014/chart" uri="{C3380CC4-5D6E-409C-BE32-E72D297353CC}">
                <c16:uniqueId val="{0000002F-DA10-413F-BA15-58D6314A2533}"/>
              </c:ext>
            </c:extLst>
          </c:dPt>
          <c:dPt>
            <c:idx val="24"/>
            <c:bubble3D val="0"/>
            <c:spPr>
              <a:solidFill>
                <a:schemeClr val="accent2">
                  <a:tint val="65000"/>
                </a:schemeClr>
              </a:solidFill>
              <a:ln w="19050">
                <a:noFill/>
              </a:ln>
              <a:effectLst/>
            </c:spPr>
            <c:extLst>
              <c:ext xmlns:c16="http://schemas.microsoft.com/office/drawing/2014/chart" uri="{C3380CC4-5D6E-409C-BE32-E72D297353CC}">
                <c16:uniqueId val="{00000031-DA10-413F-BA15-58D6314A2533}"/>
              </c:ext>
            </c:extLst>
          </c:dPt>
          <c:dPt>
            <c:idx val="25"/>
            <c:bubble3D val="0"/>
            <c:spPr>
              <a:solidFill>
                <a:schemeClr val="accent2">
                  <a:tint val="66000"/>
                </a:schemeClr>
              </a:solidFill>
              <a:ln w="19050">
                <a:noFill/>
              </a:ln>
              <a:effectLst/>
            </c:spPr>
            <c:extLst>
              <c:ext xmlns:c16="http://schemas.microsoft.com/office/drawing/2014/chart" uri="{C3380CC4-5D6E-409C-BE32-E72D297353CC}">
                <c16:uniqueId val="{00000033-DA10-413F-BA15-58D6314A2533}"/>
              </c:ext>
            </c:extLst>
          </c:dPt>
          <c:dPt>
            <c:idx val="26"/>
            <c:bubble3D val="0"/>
            <c:spPr>
              <a:solidFill>
                <a:schemeClr val="accent2">
                  <a:tint val="68000"/>
                </a:schemeClr>
              </a:solidFill>
              <a:ln w="19050">
                <a:noFill/>
              </a:ln>
              <a:effectLst/>
            </c:spPr>
            <c:extLst>
              <c:ext xmlns:c16="http://schemas.microsoft.com/office/drawing/2014/chart" uri="{C3380CC4-5D6E-409C-BE32-E72D297353CC}">
                <c16:uniqueId val="{00000035-DA10-413F-BA15-58D6314A2533}"/>
              </c:ext>
            </c:extLst>
          </c:dPt>
          <c:dPt>
            <c:idx val="27"/>
            <c:bubble3D val="0"/>
            <c:spPr>
              <a:solidFill>
                <a:schemeClr val="accent2">
                  <a:tint val="69000"/>
                </a:schemeClr>
              </a:solidFill>
              <a:ln w="19050">
                <a:noFill/>
              </a:ln>
              <a:effectLst/>
            </c:spPr>
            <c:extLst>
              <c:ext xmlns:c16="http://schemas.microsoft.com/office/drawing/2014/chart" uri="{C3380CC4-5D6E-409C-BE32-E72D297353CC}">
                <c16:uniqueId val="{00000037-DA10-413F-BA15-58D6314A2533}"/>
              </c:ext>
            </c:extLst>
          </c:dPt>
          <c:dPt>
            <c:idx val="28"/>
            <c:bubble3D val="0"/>
            <c:spPr>
              <a:solidFill>
                <a:schemeClr val="accent2">
                  <a:tint val="70000"/>
                </a:schemeClr>
              </a:solidFill>
              <a:ln w="19050">
                <a:noFill/>
              </a:ln>
              <a:effectLst/>
            </c:spPr>
            <c:extLst>
              <c:ext xmlns:c16="http://schemas.microsoft.com/office/drawing/2014/chart" uri="{C3380CC4-5D6E-409C-BE32-E72D297353CC}">
                <c16:uniqueId val="{00000039-DA10-413F-BA15-58D6314A2533}"/>
              </c:ext>
            </c:extLst>
          </c:dPt>
          <c:dPt>
            <c:idx val="29"/>
            <c:bubble3D val="0"/>
            <c:spPr>
              <a:solidFill>
                <a:schemeClr val="accent2">
                  <a:tint val="72000"/>
                </a:schemeClr>
              </a:solidFill>
              <a:ln w="19050">
                <a:noFill/>
              </a:ln>
              <a:effectLst/>
            </c:spPr>
            <c:extLst>
              <c:ext xmlns:c16="http://schemas.microsoft.com/office/drawing/2014/chart" uri="{C3380CC4-5D6E-409C-BE32-E72D297353CC}">
                <c16:uniqueId val="{0000003B-DA10-413F-BA15-58D6314A2533}"/>
              </c:ext>
            </c:extLst>
          </c:dPt>
          <c:dPt>
            <c:idx val="30"/>
            <c:bubble3D val="0"/>
            <c:spPr>
              <a:solidFill>
                <a:schemeClr val="accent2">
                  <a:tint val="73000"/>
                </a:schemeClr>
              </a:solidFill>
              <a:ln w="19050">
                <a:noFill/>
              </a:ln>
              <a:effectLst/>
            </c:spPr>
            <c:extLst>
              <c:ext xmlns:c16="http://schemas.microsoft.com/office/drawing/2014/chart" uri="{C3380CC4-5D6E-409C-BE32-E72D297353CC}">
                <c16:uniqueId val="{0000003D-DA10-413F-BA15-58D6314A2533}"/>
              </c:ext>
            </c:extLst>
          </c:dPt>
          <c:dPt>
            <c:idx val="31"/>
            <c:bubble3D val="0"/>
            <c:spPr>
              <a:solidFill>
                <a:schemeClr val="accent2">
                  <a:tint val="74000"/>
                </a:schemeClr>
              </a:solidFill>
              <a:ln w="19050">
                <a:noFill/>
              </a:ln>
              <a:effectLst/>
            </c:spPr>
            <c:extLst>
              <c:ext xmlns:c16="http://schemas.microsoft.com/office/drawing/2014/chart" uri="{C3380CC4-5D6E-409C-BE32-E72D297353CC}">
                <c16:uniqueId val="{0000003F-DA10-413F-BA15-58D6314A2533}"/>
              </c:ext>
            </c:extLst>
          </c:dPt>
          <c:dPt>
            <c:idx val="32"/>
            <c:bubble3D val="0"/>
            <c:spPr>
              <a:solidFill>
                <a:schemeClr val="accent2">
                  <a:tint val="76000"/>
                </a:schemeClr>
              </a:solidFill>
              <a:ln w="19050">
                <a:noFill/>
              </a:ln>
              <a:effectLst/>
            </c:spPr>
            <c:extLst>
              <c:ext xmlns:c16="http://schemas.microsoft.com/office/drawing/2014/chart" uri="{C3380CC4-5D6E-409C-BE32-E72D297353CC}">
                <c16:uniqueId val="{00000041-DA10-413F-BA15-58D6314A2533}"/>
              </c:ext>
            </c:extLst>
          </c:dPt>
          <c:dPt>
            <c:idx val="33"/>
            <c:bubble3D val="0"/>
            <c:spPr>
              <a:solidFill>
                <a:schemeClr val="accent2">
                  <a:tint val="77000"/>
                </a:schemeClr>
              </a:solidFill>
              <a:ln w="19050">
                <a:noFill/>
              </a:ln>
              <a:effectLst/>
            </c:spPr>
            <c:extLst>
              <c:ext xmlns:c16="http://schemas.microsoft.com/office/drawing/2014/chart" uri="{C3380CC4-5D6E-409C-BE32-E72D297353CC}">
                <c16:uniqueId val="{00000043-DA10-413F-BA15-58D6314A2533}"/>
              </c:ext>
            </c:extLst>
          </c:dPt>
          <c:dPt>
            <c:idx val="34"/>
            <c:bubble3D val="0"/>
            <c:spPr>
              <a:solidFill>
                <a:schemeClr val="accent2">
                  <a:tint val="79000"/>
                </a:schemeClr>
              </a:solidFill>
              <a:ln w="19050">
                <a:noFill/>
              </a:ln>
              <a:effectLst/>
            </c:spPr>
            <c:extLst>
              <c:ext xmlns:c16="http://schemas.microsoft.com/office/drawing/2014/chart" uri="{C3380CC4-5D6E-409C-BE32-E72D297353CC}">
                <c16:uniqueId val="{00000045-DA10-413F-BA15-58D6314A2533}"/>
              </c:ext>
            </c:extLst>
          </c:dPt>
          <c:dPt>
            <c:idx val="35"/>
            <c:bubble3D val="0"/>
            <c:spPr>
              <a:solidFill>
                <a:schemeClr val="accent2">
                  <a:tint val="80000"/>
                </a:schemeClr>
              </a:solidFill>
              <a:ln w="19050">
                <a:noFill/>
              </a:ln>
              <a:effectLst/>
            </c:spPr>
            <c:extLst>
              <c:ext xmlns:c16="http://schemas.microsoft.com/office/drawing/2014/chart" uri="{C3380CC4-5D6E-409C-BE32-E72D297353CC}">
                <c16:uniqueId val="{00000047-DA10-413F-BA15-58D6314A2533}"/>
              </c:ext>
            </c:extLst>
          </c:dPt>
          <c:dPt>
            <c:idx val="36"/>
            <c:bubble3D val="0"/>
            <c:spPr>
              <a:solidFill>
                <a:schemeClr val="accent2">
                  <a:tint val="81000"/>
                </a:schemeClr>
              </a:solidFill>
              <a:ln w="19050">
                <a:noFill/>
              </a:ln>
              <a:effectLst/>
            </c:spPr>
            <c:extLst>
              <c:ext xmlns:c16="http://schemas.microsoft.com/office/drawing/2014/chart" uri="{C3380CC4-5D6E-409C-BE32-E72D297353CC}">
                <c16:uniqueId val="{00000049-DA10-413F-BA15-58D6314A2533}"/>
              </c:ext>
            </c:extLst>
          </c:dPt>
          <c:dPt>
            <c:idx val="37"/>
            <c:bubble3D val="0"/>
            <c:spPr>
              <a:solidFill>
                <a:schemeClr val="accent2">
                  <a:tint val="83000"/>
                </a:schemeClr>
              </a:solidFill>
              <a:ln w="19050">
                <a:noFill/>
              </a:ln>
              <a:effectLst/>
            </c:spPr>
            <c:extLst>
              <c:ext xmlns:c16="http://schemas.microsoft.com/office/drawing/2014/chart" uri="{C3380CC4-5D6E-409C-BE32-E72D297353CC}">
                <c16:uniqueId val="{0000004B-DA10-413F-BA15-58D6314A2533}"/>
              </c:ext>
            </c:extLst>
          </c:dPt>
          <c:dPt>
            <c:idx val="38"/>
            <c:bubble3D val="0"/>
            <c:spPr>
              <a:solidFill>
                <a:schemeClr val="accent2">
                  <a:tint val="84000"/>
                </a:schemeClr>
              </a:solidFill>
              <a:ln w="19050">
                <a:noFill/>
              </a:ln>
              <a:effectLst/>
            </c:spPr>
            <c:extLst>
              <c:ext xmlns:c16="http://schemas.microsoft.com/office/drawing/2014/chart" uri="{C3380CC4-5D6E-409C-BE32-E72D297353CC}">
                <c16:uniqueId val="{0000004D-DA10-413F-BA15-58D6314A2533}"/>
              </c:ext>
            </c:extLst>
          </c:dPt>
          <c:dPt>
            <c:idx val="39"/>
            <c:bubble3D val="0"/>
            <c:spPr>
              <a:solidFill>
                <a:schemeClr val="accent2">
                  <a:tint val="85000"/>
                </a:schemeClr>
              </a:solidFill>
              <a:ln w="19050">
                <a:noFill/>
              </a:ln>
              <a:effectLst/>
            </c:spPr>
            <c:extLst>
              <c:ext xmlns:c16="http://schemas.microsoft.com/office/drawing/2014/chart" uri="{C3380CC4-5D6E-409C-BE32-E72D297353CC}">
                <c16:uniqueId val="{0000004F-DA10-413F-BA15-58D6314A2533}"/>
              </c:ext>
            </c:extLst>
          </c:dPt>
          <c:dPt>
            <c:idx val="40"/>
            <c:bubble3D val="0"/>
            <c:spPr>
              <a:solidFill>
                <a:schemeClr val="accent2">
                  <a:tint val="87000"/>
                </a:schemeClr>
              </a:solidFill>
              <a:ln w="19050">
                <a:noFill/>
              </a:ln>
              <a:effectLst/>
            </c:spPr>
            <c:extLst>
              <c:ext xmlns:c16="http://schemas.microsoft.com/office/drawing/2014/chart" uri="{C3380CC4-5D6E-409C-BE32-E72D297353CC}">
                <c16:uniqueId val="{00000051-DA10-413F-BA15-58D6314A2533}"/>
              </c:ext>
            </c:extLst>
          </c:dPt>
          <c:dPt>
            <c:idx val="41"/>
            <c:bubble3D val="0"/>
            <c:spPr>
              <a:solidFill>
                <a:schemeClr val="accent2">
                  <a:tint val="88000"/>
                </a:schemeClr>
              </a:solidFill>
              <a:ln w="19050">
                <a:noFill/>
              </a:ln>
              <a:effectLst/>
            </c:spPr>
            <c:extLst>
              <c:ext xmlns:c16="http://schemas.microsoft.com/office/drawing/2014/chart" uri="{C3380CC4-5D6E-409C-BE32-E72D297353CC}">
                <c16:uniqueId val="{00000053-DA10-413F-BA15-58D6314A2533}"/>
              </c:ext>
            </c:extLst>
          </c:dPt>
          <c:dPt>
            <c:idx val="42"/>
            <c:bubble3D val="0"/>
            <c:spPr>
              <a:solidFill>
                <a:schemeClr val="accent2">
                  <a:tint val="90000"/>
                </a:schemeClr>
              </a:solidFill>
              <a:ln w="19050">
                <a:noFill/>
              </a:ln>
              <a:effectLst/>
            </c:spPr>
            <c:extLst>
              <c:ext xmlns:c16="http://schemas.microsoft.com/office/drawing/2014/chart" uri="{C3380CC4-5D6E-409C-BE32-E72D297353CC}">
                <c16:uniqueId val="{00000055-DA10-413F-BA15-58D6314A2533}"/>
              </c:ext>
            </c:extLst>
          </c:dPt>
          <c:dPt>
            <c:idx val="43"/>
            <c:bubble3D val="0"/>
            <c:spPr>
              <a:solidFill>
                <a:schemeClr val="accent2">
                  <a:tint val="91000"/>
                </a:schemeClr>
              </a:solidFill>
              <a:ln w="19050">
                <a:noFill/>
              </a:ln>
              <a:effectLst/>
            </c:spPr>
            <c:extLst>
              <c:ext xmlns:c16="http://schemas.microsoft.com/office/drawing/2014/chart" uri="{C3380CC4-5D6E-409C-BE32-E72D297353CC}">
                <c16:uniqueId val="{00000057-DA10-413F-BA15-58D6314A2533}"/>
              </c:ext>
            </c:extLst>
          </c:dPt>
          <c:dPt>
            <c:idx val="44"/>
            <c:bubble3D val="0"/>
            <c:spPr>
              <a:solidFill>
                <a:schemeClr val="accent2">
                  <a:tint val="92000"/>
                </a:schemeClr>
              </a:solidFill>
              <a:ln w="19050">
                <a:noFill/>
              </a:ln>
              <a:effectLst/>
            </c:spPr>
            <c:extLst>
              <c:ext xmlns:c16="http://schemas.microsoft.com/office/drawing/2014/chart" uri="{C3380CC4-5D6E-409C-BE32-E72D297353CC}">
                <c16:uniqueId val="{00000059-DA10-413F-BA15-58D6314A2533}"/>
              </c:ext>
            </c:extLst>
          </c:dPt>
          <c:dPt>
            <c:idx val="45"/>
            <c:bubble3D val="0"/>
            <c:spPr>
              <a:solidFill>
                <a:schemeClr val="accent2">
                  <a:tint val="94000"/>
                </a:schemeClr>
              </a:solidFill>
              <a:ln w="19050">
                <a:noFill/>
              </a:ln>
              <a:effectLst/>
            </c:spPr>
            <c:extLst>
              <c:ext xmlns:c16="http://schemas.microsoft.com/office/drawing/2014/chart" uri="{C3380CC4-5D6E-409C-BE32-E72D297353CC}">
                <c16:uniqueId val="{0000005B-DA10-413F-BA15-58D6314A2533}"/>
              </c:ext>
            </c:extLst>
          </c:dPt>
          <c:dPt>
            <c:idx val="46"/>
            <c:bubble3D val="0"/>
            <c:spPr>
              <a:solidFill>
                <a:schemeClr val="accent2">
                  <a:tint val="95000"/>
                </a:schemeClr>
              </a:solidFill>
              <a:ln w="19050">
                <a:noFill/>
              </a:ln>
              <a:effectLst/>
            </c:spPr>
            <c:extLst>
              <c:ext xmlns:c16="http://schemas.microsoft.com/office/drawing/2014/chart" uri="{C3380CC4-5D6E-409C-BE32-E72D297353CC}">
                <c16:uniqueId val="{0000005D-DA10-413F-BA15-58D6314A2533}"/>
              </c:ext>
            </c:extLst>
          </c:dPt>
          <c:dPt>
            <c:idx val="47"/>
            <c:bubble3D val="0"/>
            <c:spPr>
              <a:solidFill>
                <a:schemeClr val="accent2">
                  <a:tint val="96000"/>
                </a:schemeClr>
              </a:solidFill>
              <a:ln w="19050">
                <a:noFill/>
              </a:ln>
              <a:effectLst/>
            </c:spPr>
            <c:extLst>
              <c:ext xmlns:c16="http://schemas.microsoft.com/office/drawing/2014/chart" uri="{C3380CC4-5D6E-409C-BE32-E72D297353CC}">
                <c16:uniqueId val="{0000005F-DA10-413F-BA15-58D6314A2533}"/>
              </c:ext>
            </c:extLst>
          </c:dPt>
          <c:dPt>
            <c:idx val="48"/>
            <c:bubble3D val="0"/>
            <c:spPr>
              <a:solidFill>
                <a:schemeClr val="accent2">
                  <a:tint val="98000"/>
                </a:schemeClr>
              </a:solidFill>
              <a:ln w="19050">
                <a:noFill/>
              </a:ln>
              <a:effectLst/>
            </c:spPr>
            <c:extLst>
              <c:ext xmlns:c16="http://schemas.microsoft.com/office/drawing/2014/chart" uri="{C3380CC4-5D6E-409C-BE32-E72D297353CC}">
                <c16:uniqueId val="{00000061-DA10-413F-BA15-58D6314A2533}"/>
              </c:ext>
            </c:extLst>
          </c:dPt>
          <c:dPt>
            <c:idx val="49"/>
            <c:bubble3D val="0"/>
            <c:spPr>
              <a:solidFill>
                <a:schemeClr val="accent2">
                  <a:tint val="99000"/>
                </a:schemeClr>
              </a:solidFill>
              <a:ln w="19050">
                <a:noFill/>
              </a:ln>
              <a:effectLst/>
            </c:spPr>
            <c:extLst>
              <c:ext xmlns:c16="http://schemas.microsoft.com/office/drawing/2014/chart" uri="{C3380CC4-5D6E-409C-BE32-E72D297353CC}">
                <c16:uniqueId val="{00000063-DA10-413F-BA15-58D6314A2533}"/>
              </c:ext>
            </c:extLst>
          </c:dPt>
          <c:dPt>
            <c:idx val="50"/>
            <c:bubble3D val="0"/>
            <c:spPr>
              <a:solidFill>
                <a:schemeClr val="accent2"/>
              </a:solidFill>
              <a:ln w="19050">
                <a:noFill/>
              </a:ln>
              <a:effectLst/>
            </c:spPr>
            <c:extLst>
              <c:ext xmlns:c16="http://schemas.microsoft.com/office/drawing/2014/chart" uri="{C3380CC4-5D6E-409C-BE32-E72D297353CC}">
                <c16:uniqueId val="{00000065-DA10-413F-BA15-58D6314A2533}"/>
              </c:ext>
            </c:extLst>
          </c:dPt>
          <c:dPt>
            <c:idx val="51"/>
            <c:bubble3D val="0"/>
            <c:spPr>
              <a:solidFill>
                <a:schemeClr val="accent2">
                  <a:shade val="98000"/>
                </a:schemeClr>
              </a:solidFill>
              <a:ln w="19050">
                <a:noFill/>
              </a:ln>
              <a:effectLst/>
            </c:spPr>
            <c:extLst>
              <c:ext xmlns:c16="http://schemas.microsoft.com/office/drawing/2014/chart" uri="{C3380CC4-5D6E-409C-BE32-E72D297353CC}">
                <c16:uniqueId val="{00000067-DA10-413F-BA15-58D6314A2533}"/>
              </c:ext>
            </c:extLst>
          </c:dPt>
          <c:dPt>
            <c:idx val="52"/>
            <c:bubble3D val="0"/>
            <c:spPr>
              <a:solidFill>
                <a:schemeClr val="accent2">
                  <a:shade val="97000"/>
                </a:schemeClr>
              </a:solidFill>
              <a:ln w="19050">
                <a:noFill/>
              </a:ln>
              <a:effectLst/>
            </c:spPr>
            <c:extLst>
              <c:ext xmlns:c16="http://schemas.microsoft.com/office/drawing/2014/chart" uri="{C3380CC4-5D6E-409C-BE32-E72D297353CC}">
                <c16:uniqueId val="{00000069-DA10-413F-BA15-58D6314A2533}"/>
              </c:ext>
            </c:extLst>
          </c:dPt>
          <c:dPt>
            <c:idx val="53"/>
            <c:bubble3D val="0"/>
            <c:spPr>
              <a:solidFill>
                <a:schemeClr val="accent2">
                  <a:shade val="95000"/>
                </a:schemeClr>
              </a:solidFill>
              <a:ln w="19050">
                <a:noFill/>
              </a:ln>
              <a:effectLst/>
            </c:spPr>
            <c:extLst>
              <c:ext xmlns:c16="http://schemas.microsoft.com/office/drawing/2014/chart" uri="{C3380CC4-5D6E-409C-BE32-E72D297353CC}">
                <c16:uniqueId val="{0000006B-DA10-413F-BA15-58D6314A2533}"/>
              </c:ext>
            </c:extLst>
          </c:dPt>
          <c:dPt>
            <c:idx val="54"/>
            <c:bubble3D val="0"/>
            <c:spPr>
              <a:solidFill>
                <a:schemeClr val="accent2">
                  <a:shade val="94000"/>
                </a:schemeClr>
              </a:solidFill>
              <a:ln w="19050">
                <a:noFill/>
              </a:ln>
              <a:effectLst/>
            </c:spPr>
            <c:extLst>
              <c:ext xmlns:c16="http://schemas.microsoft.com/office/drawing/2014/chart" uri="{C3380CC4-5D6E-409C-BE32-E72D297353CC}">
                <c16:uniqueId val="{0000006D-DA10-413F-BA15-58D6314A2533}"/>
              </c:ext>
            </c:extLst>
          </c:dPt>
          <c:dPt>
            <c:idx val="55"/>
            <c:bubble3D val="0"/>
            <c:spPr>
              <a:solidFill>
                <a:schemeClr val="accent2">
                  <a:shade val="93000"/>
                </a:schemeClr>
              </a:solidFill>
              <a:ln w="19050">
                <a:noFill/>
              </a:ln>
              <a:effectLst/>
            </c:spPr>
            <c:extLst>
              <c:ext xmlns:c16="http://schemas.microsoft.com/office/drawing/2014/chart" uri="{C3380CC4-5D6E-409C-BE32-E72D297353CC}">
                <c16:uniqueId val="{0000006F-DA10-413F-BA15-58D6314A2533}"/>
              </c:ext>
            </c:extLst>
          </c:dPt>
          <c:dPt>
            <c:idx val="56"/>
            <c:bubble3D val="0"/>
            <c:spPr>
              <a:solidFill>
                <a:schemeClr val="accent2">
                  <a:shade val="91000"/>
                </a:schemeClr>
              </a:solidFill>
              <a:ln w="19050">
                <a:noFill/>
              </a:ln>
              <a:effectLst/>
            </c:spPr>
            <c:extLst>
              <c:ext xmlns:c16="http://schemas.microsoft.com/office/drawing/2014/chart" uri="{C3380CC4-5D6E-409C-BE32-E72D297353CC}">
                <c16:uniqueId val="{00000071-DA10-413F-BA15-58D6314A2533}"/>
              </c:ext>
            </c:extLst>
          </c:dPt>
          <c:dPt>
            <c:idx val="57"/>
            <c:bubble3D val="0"/>
            <c:spPr>
              <a:solidFill>
                <a:schemeClr val="accent2">
                  <a:shade val="90000"/>
                </a:schemeClr>
              </a:solidFill>
              <a:ln w="19050">
                <a:noFill/>
              </a:ln>
              <a:effectLst/>
            </c:spPr>
            <c:extLst>
              <c:ext xmlns:c16="http://schemas.microsoft.com/office/drawing/2014/chart" uri="{C3380CC4-5D6E-409C-BE32-E72D297353CC}">
                <c16:uniqueId val="{00000073-DA10-413F-BA15-58D6314A2533}"/>
              </c:ext>
            </c:extLst>
          </c:dPt>
          <c:dPt>
            <c:idx val="58"/>
            <c:bubble3D val="0"/>
            <c:spPr>
              <a:solidFill>
                <a:schemeClr val="accent2">
                  <a:shade val="89000"/>
                </a:schemeClr>
              </a:solidFill>
              <a:ln w="19050">
                <a:noFill/>
              </a:ln>
              <a:effectLst/>
            </c:spPr>
            <c:extLst>
              <c:ext xmlns:c16="http://schemas.microsoft.com/office/drawing/2014/chart" uri="{C3380CC4-5D6E-409C-BE32-E72D297353CC}">
                <c16:uniqueId val="{00000075-DA10-413F-BA15-58D6314A2533}"/>
              </c:ext>
            </c:extLst>
          </c:dPt>
          <c:dPt>
            <c:idx val="59"/>
            <c:bubble3D val="0"/>
            <c:spPr>
              <a:solidFill>
                <a:schemeClr val="accent2">
                  <a:shade val="87000"/>
                </a:schemeClr>
              </a:solidFill>
              <a:ln w="19050">
                <a:noFill/>
              </a:ln>
              <a:effectLst/>
            </c:spPr>
            <c:extLst>
              <c:ext xmlns:c16="http://schemas.microsoft.com/office/drawing/2014/chart" uri="{C3380CC4-5D6E-409C-BE32-E72D297353CC}">
                <c16:uniqueId val="{00000077-DA10-413F-BA15-58D6314A2533}"/>
              </c:ext>
            </c:extLst>
          </c:dPt>
          <c:dPt>
            <c:idx val="60"/>
            <c:bubble3D val="0"/>
            <c:spPr>
              <a:solidFill>
                <a:schemeClr val="accent2">
                  <a:shade val="86000"/>
                </a:schemeClr>
              </a:solidFill>
              <a:ln w="19050">
                <a:noFill/>
              </a:ln>
              <a:effectLst/>
            </c:spPr>
            <c:extLst>
              <c:ext xmlns:c16="http://schemas.microsoft.com/office/drawing/2014/chart" uri="{C3380CC4-5D6E-409C-BE32-E72D297353CC}">
                <c16:uniqueId val="{00000079-DA10-413F-BA15-58D6314A2533}"/>
              </c:ext>
            </c:extLst>
          </c:dPt>
          <c:dPt>
            <c:idx val="61"/>
            <c:bubble3D val="0"/>
            <c:spPr>
              <a:solidFill>
                <a:schemeClr val="accent2">
                  <a:shade val="84000"/>
                </a:schemeClr>
              </a:solidFill>
              <a:ln w="19050">
                <a:noFill/>
              </a:ln>
              <a:effectLst/>
            </c:spPr>
            <c:extLst>
              <c:ext xmlns:c16="http://schemas.microsoft.com/office/drawing/2014/chart" uri="{C3380CC4-5D6E-409C-BE32-E72D297353CC}">
                <c16:uniqueId val="{0000007B-DA10-413F-BA15-58D6314A2533}"/>
              </c:ext>
            </c:extLst>
          </c:dPt>
          <c:dPt>
            <c:idx val="62"/>
            <c:bubble3D val="0"/>
            <c:spPr>
              <a:solidFill>
                <a:schemeClr val="accent2">
                  <a:shade val="83000"/>
                </a:schemeClr>
              </a:solidFill>
              <a:ln w="19050">
                <a:noFill/>
              </a:ln>
              <a:effectLst/>
            </c:spPr>
            <c:extLst>
              <c:ext xmlns:c16="http://schemas.microsoft.com/office/drawing/2014/chart" uri="{C3380CC4-5D6E-409C-BE32-E72D297353CC}">
                <c16:uniqueId val="{0000007D-DA10-413F-BA15-58D6314A2533}"/>
              </c:ext>
            </c:extLst>
          </c:dPt>
          <c:dPt>
            <c:idx val="63"/>
            <c:bubble3D val="0"/>
            <c:spPr>
              <a:solidFill>
                <a:schemeClr val="accent2">
                  <a:shade val="82000"/>
                </a:schemeClr>
              </a:solidFill>
              <a:ln w="19050">
                <a:noFill/>
              </a:ln>
              <a:effectLst/>
            </c:spPr>
            <c:extLst>
              <c:ext xmlns:c16="http://schemas.microsoft.com/office/drawing/2014/chart" uri="{C3380CC4-5D6E-409C-BE32-E72D297353CC}">
                <c16:uniqueId val="{0000007F-DA10-413F-BA15-58D6314A2533}"/>
              </c:ext>
            </c:extLst>
          </c:dPt>
          <c:dPt>
            <c:idx val="64"/>
            <c:bubble3D val="0"/>
            <c:spPr>
              <a:solidFill>
                <a:schemeClr val="accent2">
                  <a:shade val="80000"/>
                </a:schemeClr>
              </a:solidFill>
              <a:ln w="19050">
                <a:noFill/>
              </a:ln>
              <a:effectLst/>
            </c:spPr>
            <c:extLst>
              <c:ext xmlns:c16="http://schemas.microsoft.com/office/drawing/2014/chart" uri="{C3380CC4-5D6E-409C-BE32-E72D297353CC}">
                <c16:uniqueId val="{00000081-DA10-413F-BA15-58D6314A2533}"/>
              </c:ext>
            </c:extLst>
          </c:dPt>
          <c:dPt>
            <c:idx val="65"/>
            <c:bubble3D val="0"/>
            <c:spPr>
              <a:solidFill>
                <a:schemeClr val="accent2">
                  <a:shade val="79000"/>
                </a:schemeClr>
              </a:solidFill>
              <a:ln w="19050">
                <a:noFill/>
              </a:ln>
              <a:effectLst/>
            </c:spPr>
            <c:extLst>
              <c:ext xmlns:c16="http://schemas.microsoft.com/office/drawing/2014/chart" uri="{C3380CC4-5D6E-409C-BE32-E72D297353CC}">
                <c16:uniqueId val="{00000083-DA10-413F-BA15-58D6314A2533}"/>
              </c:ext>
            </c:extLst>
          </c:dPt>
          <c:dPt>
            <c:idx val="66"/>
            <c:bubble3D val="0"/>
            <c:spPr>
              <a:solidFill>
                <a:schemeClr val="accent2">
                  <a:shade val="78000"/>
                </a:schemeClr>
              </a:solidFill>
              <a:ln w="19050">
                <a:noFill/>
              </a:ln>
              <a:effectLst/>
            </c:spPr>
            <c:extLst>
              <c:ext xmlns:c16="http://schemas.microsoft.com/office/drawing/2014/chart" uri="{C3380CC4-5D6E-409C-BE32-E72D297353CC}">
                <c16:uniqueId val="{00000085-DA10-413F-BA15-58D6314A2533}"/>
              </c:ext>
            </c:extLst>
          </c:dPt>
          <c:dPt>
            <c:idx val="67"/>
            <c:bubble3D val="0"/>
            <c:spPr>
              <a:solidFill>
                <a:schemeClr val="accent2">
                  <a:shade val="76000"/>
                </a:schemeClr>
              </a:solidFill>
              <a:ln w="19050">
                <a:noFill/>
              </a:ln>
              <a:effectLst/>
            </c:spPr>
            <c:extLst>
              <c:ext xmlns:c16="http://schemas.microsoft.com/office/drawing/2014/chart" uri="{C3380CC4-5D6E-409C-BE32-E72D297353CC}">
                <c16:uniqueId val="{00000087-DA10-413F-BA15-58D6314A2533}"/>
              </c:ext>
            </c:extLst>
          </c:dPt>
          <c:dPt>
            <c:idx val="68"/>
            <c:bubble3D val="0"/>
            <c:spPr>
              <a:solidFill>
                <a:schemeClr val="accent2">
                  <a:shade val="75000"/>
                </a:schemeClr>
              </a:solidFill>
              <a:ln w="19050">
                <a:noFill/>
              </a:ln>
              <a:effectLst/>
            </c:spPr>
            <c:extLst>
              <c:ext xmlns:c16="http://schemas.microsoft.com/office/drawing/2014/chart" uri="{C3380CC4-5D6E-409C-BE32-E72D297353CC}">
                <c16:uniqueId val="{00000089-DA10-413F-BA15-58D6314A2533}"/>
              </c:ext>
            </c:extLst>
          </c:dPt>
          <c:dPt>
            <c:idx val="69"/>
            <c:bubble3D val="0"/>
            <c:spPr>
              <a:solidFill>
                <a:schemeClr val="accent2">
                  <a:shade val="73000"/>
                </a:schemeClr>
              </a:solidFill>
              <a:ln w="19050">
                <a:noFill/>
              </a:ln>
              <a:effectLst/>
            </c:spPr>
            <c:extLst>
              <c:ext xmlns:c16="http://schemas.microsoft.com/office/drawing/2014/chart" uri="{C3380CC4-5D6E-409C-BE32-E72D297353CC}">
                <c16:uniqueId val="{0000008B-DA10-413F-BA15-58D6314A2533}"/>
              </c:ext>
            </c:extLst>
          </c:dPt>
          <c:dPt>
            <c:idx val="70"/>
            <c:bubble3D val="0"/>
            <c:spPr>
              <a:solidFill>
                <a:schemeClr val="accent2">
                  <a:shade val="72000"/>
                </a:schemeClr>
              </a:solidFill>
              <a:ln w="19050">
                <a:noFill/>
              </a:ln>
              <a:effectLst/>
            </c:spPr>
            <c:extLst>
              <c:ext xmlns:c16="http://schemas.microsoft.com/office/drawing/2014/chart" uri="{C3380CC4-5D6E-409C-BE32-E72D297353CC}">
                <c16:uniqueId val="{0000008D-DA10-413F-BA15-58D6314A2533}"/>
              </c:ext>
            </c:extLst>
          </c:dPt>
          <c:dPt>
            <c:idx val="71"/>
            <c:bubble3D val="0"/>
            <c:spPr>
              <a:solidFill>
                <a:schemeClr val="accent2">
                  <a:shade val="71000"/>
                </a:schemeClr>
              </a:solidFill>
              <a:ln w="19050">
                <a:noFill/>
              </a:ln>
              <a:effectLst/>
            </c:spPr>
            <c:extLst>
              <c:ext xmlns:c16="http://schemas.microsoft.com/office/drawing/2014/chart" uri="{C3380CC4-5D6E-409C-BE32-E72D297353CC}">
                <c16:uniqueId val="{0000008F-DA10-413F-BA15-58D6314A2533}"/>
              </c:ext>
            </c:extLst>
          </c:dPt>
          <c:dPt>
            <c:idx val="72"/>
            <c:bubble3D val="0"/>
            <c:spPr>
              <a:solidFill>
                <a:schemeClr val="accent2">
                  <a:shade val="69000"/>
                </a:schemeClr>
              </a:solidFill>
              <a:ln w="19050">
                <a:noFill/>
              </a:ln>
              <a:effectLst/>
            </c:spPr>
            <c:extLst>
              <c:ext xmlns:c16="http://schemas.microsoft.com/office/drawing/2014/chart" uri="{C3380CC4-5D6E-409C-BE32-E72D297353CC}">
                <c16:uniqueId val="{00000091-DA10-413F-BA15-58D6314A2533}"/>
              </c:ext>
            </c:extLst>
          </c:dPt>
          <c:dPt>
            <c:idx val="73"/>
            <c:bubble3D val="0"/>
            <c:spPr>
              <a:solidFill>
                <a:schemeClr val="accent2">
                  <a:shade val="68000"/>
                </a:schemeClr>
              </a:solidFill>
              <a:ln w="19050">
                <a:noFill/>
              </a:ln>
              <a:effectLst/>
            </c:spPr>
            <c:extLst>
              <c:ext xmlns:c16="http://schemas.microsoft.com/office/drawing/2014/chart" uri="{C3380CC4-5D6E-409C-BE32-E72D297353CC}">
                <c16:uniqueId val="{00000093-DA10-413F-BA15-58D6314A2533}"/>
              </c:ext>
            </c:extLst>
          </c:dPt>
          <c:dPt>
            <c:idx val="74"/>
            <c:bubble3D val="0"/>
            <c:spPr>
              <a:solidFill>
                <a:schemeClr val="accent2">
                  <a:shade val="67000"/>
                </a:schemeClr>
              </a:solidFill>
              <a:ln w="19050">
                <a:noFill/>
              </a:ln>
              <a:effectLst/>
            </c:spPr>
            <c:extLst>
              <c:ext xmlns:c16="http://schemas.microsoft.com/office/drawing/2014/chart" uri="{C3380CC4-5D6E-409C-BE32-E72D297353CC}">
                <c16:uniqueId val="{00000095-DA10-413F-BA15-58D6314A2533}"/>
              </c:ext>
            </c:extLst>
          </c:dPt>
          <c:dPt>
            <c:idx val="75"/>
            <c:bubble3D val="0"/>
            <c:spPr>
              <a:solidFill>
                <a:schemeClr val="accent2">
                  <a:shade val="65000"/>
                </a:schemeClr>
              </a:solidFill>
              <a:ln w="19050">
                <a:noFill/>
              </a:ln>
              <a:effectLst/>
            </c:spPr>
            <c:extLst>
              <c:ext xmlns:c16="http://schemas.microsoft.com/office/drawing/2014/chart" uri="{C3380CC4-5D6E-409C-BE32-E72D297353CC}">
                <c16:uniqueId val="{00000097-DA10-413F-BA15-58D6314A2533}"/>
              </c:ext>
            </c:extLst>
          </c:dPt>
          <c:dPt>
            <c:idx val="76"/>
            <c:bubble3D val="0"/>
            <c:spPr>
              <a:solidFill>
                <a:schemeClr val="accent2">
                  <a:shade val="64000"/>
                </a:schemeClr>
              </a:solidFill>
              <a:ln w="19050">
                <a:noFill/>
              </a:ln>
              <a:effectLst/>
            </c:spPr>
            <c:extLst>
              <c:ext xmlns:c16="http://schemas.microsoft.com/office/drawing/2014/chart" uri="{C3380CC4-5D6E-409C-BE32-E72D297353CC}">
                <c16:uniqueId val="{00000099-DA10-413F-BA15-58D6314A2533}"/>
              </c:ext>
            </c:extLst>
          </c:dPt>
          <c:dPt>
            <c:idx val="77"/>
            <c:bubble3D val="0"/>
            <c:spPr>
              <a:solidFill>
                <a:schemeClr val="accent2">
                  <a:shade val="62000"/>
                </a:schemeClr>
              </a:solidFill>
              <a:ln w="19050">
                <a:noFill/>
              </a:ln>
              <a:effectLst/>
            </c:spPr>
            <c:extLst>
              <c:ext xmlns:c16="http://schemas.microsoft.com/office/drawing/2014/chart" uri="{C3380CC4-5D6E-409C-BE32-E72D297353CC}">
                <c16:uniqueId val="{0000009B-DA10-413F-BA15-58D6314A2533}"/>
              </c:ext>
            </c:extLst>
          </c:dPt>
          <c:dPt>
            <c:idx val="78"/>
            <c:bubble3D val="0"/>
            <c:spPr>
              <a:solidFill>
                <a:schemeClr val="accent2">
                  <a:shade val="61000"/>
                </a:schemeClr>
              </a:solidFill>
              <a:ln w="19050">
                <a:noFill/>
              </a:ln>
              <a:effectLst/>
            </c:spPr>
            <c:extLst>
              <c:ext xmlns:c16="http://schemas.microsoft.com/office/drawing/2014/chart" uri="{C3380CC4-5D6E-409C-BE32-E72D297353CC}">
                <c16:uniqueId val="{0000009D-DA10-413F-BA15-58D6314A2533}"/>
              </c:ext>
            </c:extLst>
          </c:dPt>
          <c:dPt>
            <c:idx val="79"/>
            <c:bubble3D val="0"/>
            <c:spPr>
              <a:solidFill>
                <a:schemeClr val="accent2">
                  <a:shade val="60000"/>
                </a:schemeClr>
              </a:solidFill>
              <a:ln w="19050">
                <a:noFill/>
              </a:ln>
              <a:effectLst/>
            </c:spPr>
            <c:extLst>
              <c:ext xmlns:c16="http://schemas.microsoft.com/office/drawing/2014/chart" uri="{C3380CC4-5D6E-409C-BE32-E72D297353CC}">
                <c16:uniqueId val="{0000009F-DA10-413F-BA15-58D6314A2533}"/>
              </c:ext>
            </c:extLst>
          </c:dPt>
          <c:dPt>
            <c:idx val="80"/>
            <c:bubble3D val="0"/>
            <c:spPr>
              <a:solidFill>
                <a:schemeClr val="accent2">
                  <a:shade val="58000"/>
                </a:schemeClr>
              </a:solidFill>
              <a:ln w="19050">
                <a:noFill/>
              </a:ln>
              <a:effectLst/>
            </c:spPr>
            <c:extLst>
              <c:ext xmlns:c16="http://schemas.microsoft.com/office/drawing/2014/chart" uri="{C3380CC4-5D6E-409C-BE32-E72D297353CC}">
                <c16:uniqueId val="{000000A1-DA10-413F-BA15-58D6314A2533}"/>
              </c:ext>
            </c:extLst>
          </c:dPt>
          <c:dPt>
            <c:idx val="81"/>
            <c:bubble3D val="0"/>
            <c:spPr>
              <a:solidFill>
                <a:schemeClr val="accent2">
                  <a:shade val="57000"/>
                </a:schemeClr>
              </a:solidFill>
              <a:ln w="19050">
                <a:noFill/>
              </a:ln>
              <a:effectLst/>
            </c:spPr>
            <c:extLst>
              <c:ext xmlns:c16="http://schemas.microsoft.com/office/drawing/2014/chart" uri="{C3380CC4-5D6E-409C-BE32-E72D297353CC}">
                <c16:uniqueId val="{000000A3-DA10-413F-BA15-58D6314A2533}"/>
              </c:ext>
            </c:extLst>
          </c:dPt>
          <c:dPt>
            <c:idx val="82"/>
            <c:bubble3D val="0"/>
            <c:spPr>
              <a:solidFill>
                <a:schemeClr val="accent2">
                  <a:shade val="56000"/>
                </a:schemeClr>
              </a:solidFill>
              <a:ln w="19050">
                <a:noFill/>
              </a:ln>
              <a:effectLst/>
            </c:spPr>
            <c:extLst>
              <c:ext xmlns:c16="http://schemas.microsoft.com/office/drawing/2014/chart" uri="{C3380CC4-5D6E-409C-BE32-E72D297353CC}">
                <c16:uniqueId val="{000000A5-DA10-413F-BA15-58D6314A2533}"/>
              </c:ext>
            </c:extLst>
          </c:dPt>
          <c:dPt>
            <c:idx val="83"/>
            <c:bubble3D val="0"/>
            <c:spPr>
              <a:solidFill>
                <a:schemeClr val="accent2">
                  <a:shade val="54000"/>
                </a:schemeClr>
              </a:solidFill>
              <a:ln w="19050">
                <a:noFill/>
              </a:ln>
              <a:effectLst/>
            </c:spPr>
            <c:extLst>
              <c:ext xmlns:c16="http://schemas.microsoft.com/office/drawing/2014/chart" uri="{C3380CC4-5D6E-409C-BE32-E72D297353CC}">
                <c16:uniqueId val="{000000A7-DA10-413F-BA15-58D6314A2533}"/>
              </c:ext>
            </c:extLst>
          </c:dPt>
          <c:dPt>
            <c:idx val="84"/>
            <c:bubble3D val="0"/>
            <c:spPr>
              <a:solidFill>
                <a:schemeClr val="accent2">
                  <a:shade val="53000"/>
                </a:schemeClr>
              </a:solidFill>
              <a:ln w="19050">
                <a:noFill/>
              </a:ln>
              <a:effectLst/>
            </c:spPr>
            <c:extLst>
              <c:ext xmlns:c16="http://schemas.microsoft.com/office/drawing/2014/chart" uri="{C3380CC4-5D6E-409C-BE32-E72D297353CC}">
                <c16:uniqueId val="{000000A9-DA10-413F-BA15-58D6314A2533}"/>
              </c:ext>
            </c:extLst>
          </c:dPt>
          <c:dPt>
            <c:idx val="85"/>
            <c:bubble3D val="0"/>
            <c:spPr>
              <a:solidFill>
                <a:schemeClr val="accent2">
                  <a:shade val="51000"/>
                </a:schemeClr>
              </a:solidFill>
              <a:ln w="19050">
                <a:noFill/>
              </a:ln>
              <a:effectLst/>
            </c:spPr>
            <c:extLst>
              <c:ext xmlns:c16="http://schemas.microsoft.com/office/drawing/2014/chart" uri="{C3380CC4-5D6E-409C-BE32-E72D297353CC}">
                <c16:uniqueId val="{000000AB-DA10-413F-BA15-58D6314A2533}"/>
              </c:ext>
            </c:extLst>
          </c:dPt>
          <c:dPt>
            <c:idx val="86"/>
            <c:bubble3D val="0"/>
            <c:spPr>
              <a:solidFill>
                <a:schemeClr val="accent2">
                  <a:shade val="50000"/>
                </a:schemeClr>
              </a:solidFill>
              <a:ln w="19050">
                <a:noFill/>
              </a:ln>
              <a:effectLst/>
            </c:spPr>
            <c:extLst>
              <c:ext xmlns:c16="http://schemas.microsoft.com/office/drawing/2014/chart" uri="{C3380CC4-5D6E-409C-BE32-E72D297353CC}">
                <c16:uniqueId val="{000000AD-DA10-413F-BA15-58D6314A2533}"/>
              </c:ext>
            </c:extLst>
          </c:dPt>
          <c:dPt>
            <c:idx val="87"/>
            <c:bubble3D val="0"/>
            <c:spPr>
              <a:solidFill>
                <a:schemeClr val="accent2">
                  <a:shade val="49000"/>
                </a:schemeClr>
              </a:solidFill>
              <a:ln w="19050">
                <a:noFill/>
              </a:ln>
              <a:effectLst/>
            </c:spPr>
            <c:extLst>
              <c:ext xmlns:c16="http://schemas.microsoft.com/office/drawing/2014/chart" uri="{C3380CC4-5D6E-409C-BE32-E72D297353CC}">
                <c16:uniqueId val="{000000AF-DA10-413F-BA15-58D6314A2533}"/>
              </c:ext>
            </c:extLst>
          </c:dPt>
          <c:dPt>
            <c:idx val="88"/>
            <c:bubble3D val="0"/>
            <c:spPr>
              <a:solidFill>
                <a:schemeClr val="accent2">
                  <a:shade val="47000"/>
                </a:schemeClr>
              </a:solidFill>
              <a:ln w="19050">
                <a:noFill/>
              </a:ln>
              <a:effectLst/>
            </c:spPr>
            <c:extLst>
              <c:ext xmlns:c16="http://schemas.microsoft.com/office/drawing/2014/chart" uri="{C3380CC4-5D6E-409C-BE32-E72D297353CC}">
                <c16:uniqueId val="{000000B1-DA10-413F-BA15-58D6314A2533}"/>
              </c:ext>
            </c:extLst>
          </c:dPt>
          <c:dPt>
            <c:idx val="89"/>
            <c:bubble3D val="0"/>
            <c:spPr>
              <a:solidFill>
                <a:schemeClr val="accent2">
                  <a:shade val="46000"/>
                </a:schemeClr>
              </a:solidFill>
              <a:ln w="19050">
                <a:noFill/>
              </a:ln>
              <a:effectLst/>
            </c:spPr>
            <c:extLst>
              <c:ext xmlns:c16="http://schemas.microsoft.com/office/drawing/2014/chart" uri="{C3380CC4-5D6E-409C-BE32-E72D297353CC}">
                <c16:uniqueId val="{000000B3-DA10-413F-BA15-58D6314A2533}"/>
              </c:ext>
            </c:extLst>
          </c:dPt>
          <c:dPt>
            <c:idx val="90"/>
            <c:bubble3D val="0"/>
            <c:spPr>
              <a:solidFill>
                <a:schemeClr val="accent2">
                  <a:shade val="45000"/>
                </a:schemeClr>
              </a:solidFill>
              <a:ln w="19050">
                <a:noFill/>
              </a:ln>
              <a:effectLst/>
            </c:spPr>
            <c:extLst>
              <c:ext xmlns:c16="http://schemas.microsoft.com/office/drawing/2014/chart" uri="{C3380CC4-5D6E-409C-BE32-E72D297353CC}">
                <c16:uniqueId val="{000000B5-DA10-413F-BA15-58D6314A2533}"/>
              </c:ext>
            </c:extLst>
          </c:dPt>
          <c:dPt>
            <c:idx val="91"/>
            <c:bubble3D val="0"/>
            <c:spPr>
              <a:solidFill>
                <a:schemeClr val="accent2">
                  <a:shade val="43000"/>
                </a:schemeClr>
              </a:solidFill>
              <a:ln w="19050">
                <a:noFill/>
              </a:ln>
              <a:effectLst/>
            </c:spPr>
            <c:extLst>
              <c:ext xmlns:c16="http://schemas.microsoft.com/office/drawing/2014/chart" uri="{C3380CC4-5D6E-409C-BE32-E72D297353CC}">
                <c16:uniqueId val="{000000B7-DA10-413F-BA15-58D6314A2533}"/>
              </c:ext>
            </c:extLst>
          </c:dPt>
          <c:dPt>
            <c:idx val="92"/>
            <c:bubble3D val="0"/>
            <c:spPr>
              <a:solidFill>
                <a:schemeClr val="accent2">
                  <a:shade val="42000"/>
                </a:schemeClr>
              </a:solidFill>
              <a:ln w="19050">
                <a:noFill/>
              </a:ln>
              <a:effectLst/>
            </c:spPr>
            <c:extLst>
              <c:ext xmlns:c16="http://schemas.microsoft.com/office/drawing/2014/chart" uri="{C3380CC4-5D6E-409C-BE32-E72D297353CC}">
                <c16:uniqueId val="{000000B9-DA10-413F-BA15-58D6314A2533}"/>
              </c:ext>
            </c:extLst>
          </c:dPt>
          <c:dPt>
            <c:idx val="93"/>
            <c:bubble3D val="0"/>
            <c:spPr>
              <a:solidFill>
                <a:schemeClr val="accent2">
                  <a:shade val="40000"/>
                </a:schemeClr>
              </a:solidFill>
              <a:ln w="19050">
                <a:noFill/>
              </a:ln>
              <a:effectLst/>
            </c:spPr>
            <c:extLst>
              <c:ext xmlns:c16="http://schemas.microsoft.com/office/drawing/2014/chart" uri="{C3380CC4-5D6E-409C-BE32-E72D297353CC}">
                <c16:uniqueId val="{000000BB-DA10-413F-BA15-58D6314A2533}"/>
              </c:ext>
            </c:extLst>
          </c:dPt>
          <c:dPt>
            <c:idx val="94"/>
            <c:bubble3D val="0"/>
            <c:spPr>
              <a:solidFill>
                <a:schemeClr val="accent2">
                  <a:shade val="39000"/>
                </a:schemeClr>
              </a:solidFill>
              <a:ln w="19050">
                <a:noFill/>
              </a:ln>
              <a:effectLst/>
            </c:spPr>
            <c:extLst>
              <c:ext xmlns:c16="http://schemas.microsoft.com/office/drawing/2014/chart" uri="{C3380CC4-5D6E-409C-BE32-E72D297353CC}">
                <c16:uniqueId val="{000000BD-DA10-413F-BA15-58D6314A2533}"/>
              </c:ext>
            </c:extLst>
          </c:dPt>
          <c:dPt>
            <c:idx val="95"/>
            <c:bubble3D val="0"/>
            <c:spPr>
              <a:solidFill>
                <a:schemeClr val="accent2">
                  <a:shade val="38000"/>
                </a:schemeClr>
              </a:solidFill>
              <a:ln w="19050">
                <a:noFill/>
              </a:ln>
              <a:effectLst/>
            </c:spPr>
            <c:extLst>
              <c:ext xmlns:c16="http://schemas.microsoft.com/office/drawing/2014/chart" uri="{C3380CC4-5D6E-409C-BE32-E72D297353CC}">
                <c16:uniqueId val="{000000BF-DA10-413F-BA15-58D6314A2533}"/>
              </c:ext>
            </c:extLst>
          </c:dPt>
          <c:dPt>
            <c:idx val="96"/>
            <c:bubble3D val="0"/>
            <c:spPr>
              <a:solidFill>
                <a:schemeClr val="accent2">
                  <a:shade val="36000"/>
                </a:schemeClr>
              </a:solidFill>
              <a:ln w="19050">
                <a:noFill/>
              </a:ln>
              <a:effectLst/>
            </c:spPr>
            <c:extLst>
              <c:ext xmlns:c16="http://schemas.microsoft.com/office/drawing/2014/chart" uri="{C3380CC4-5D6E-409C-BE32-E72D297353CC}">
                <c16:uniqueId val="{000000C1-DA10-413F-BA15-58D6314A2533}"/>
              </c:ext>
            </c:extLst>
          </c:dPt>
          <c:dPt>
            <c:idx val="97"/>
            <c:bubble3D val="0"/>
            <c:spPr>
              <a:solidFill>
                <a:schemeClr val="accent2">
                  <a:shade val="35000"/>
                </a:schemeClr>
              </a:solidFill>
              <a:ln w="19050">
                <a:noFill/>
              </a:ln>
              <a:effectLst/>
            </c:spPr>
            <c:extLst>
              <c:ext xmlns:c16="http://schemas.microsoft.com/office/drawing/2014/chart" uri="{C3380CC4-5D6E-409C-BE32-E72D297353CC}">
                <c16:uniqueId val="{000000C3-DA10-413F-BA15-58D6314A2533}"/>
              </c:ext>
            </c:extLst>
          </c:dPt>
          <c:dPt>
            <c:idx val="98"/>
            <c:bubble3D val="0"/>
            <c:spPr>
              <a:solidFill>
                <a:schemeClr val="accent2">
                  <a:shade val="34000"/>
                </a:schemeClr>
              </a:solidFill>
              <a:ln w="19050">
                <a:noFill/>
              </a:ln>
              <a:effectLst/>
            </c:spPr>
            <c:extLst>
              <c:ext xmlns:c16="http://schemas.microsoft.com/office/drawing/2014/chart" uri="{C3380CC4-5D6E-409C-BE32-E72D297353CC}">
                <c16:uniqueId val="{000000C5-DA10-413F-BA15-58D6314A2533}"/>
              </c:ext>
            </c:extLst>
          </c:dPt>
          <c:dPt>
            <c:idx val="99"/>
            <c:bubble3D val="0"/>
            <c:spPr>
              <a:solidFill>
                <a:schemeClr val="accent2">
                  <a:shade val="32000"/>
                </a:schemeClr>
              </a:solidFill>
              <a:ln w="19050">
                <a:noFill/>
              </a:ln>
              <a:effectLst/>
            </c:spPr>
            <c:extLst>
              <c:ext xmlns:c16="http://schemas.microsoft.com/office/drawing/2014/chart" uri="{C3380CC4-5D6E-409C-BE32-E72D297353CC}">
                <c16:uniqueId val="{000000C7-DA10-413F-BA15-58D6314A2533}"/>
              </c:ext>
            </c:extLst>
          </c:dPt>
          <c:dPt>
            <c:idx val="100"/>
            <c:bubble3D val="0"/>
            <c:spPr>
              <a:noFill/>
              <a:ln w="19050">
                <a:noFill/>
              </a:ln>
              <a:effectLst/>
            </c:spPr>
            <c:extLst>
              <c:ext xmlns:c16="http://schemas.microsoft.com/office/drawing/2014/chart" uri="{C3380CC4-5D6E-409C-BE32-E72D297353CC}">
                <c16:uniqueId val="{00000010-C33C-4DBE-9112-690D0DF60A9C}"/>
              </c:ext>
            </c:extLst>
          </c:dPt>
          <c:cat>
            <c:strRef>
              <c:f>Biodiversity!$L$81:$L$84</c:f>
              <c:strCache>
                <c:ptCount val="4"/>
                <c:pt idx="0">
                  <c:v>KBA</c:v>
                </c:pt>
                <c:pt idx="1">
                  <c:v>Near</c:v>
                </c:pt>
                <c:pt idx="2">
                  <c:v>Not KBA</c:v>
                </c:pt>
                <c:pt idx="3">
                  <c:v>Empty</c:v>
                </c:pt>
              </c:strCache>
            </c:strRef>
          </c:cat>
          <c:val>
            <c:numRef>
              <c:f>Biodiversity!$X$81:$X$181</c:f>
              <c:numCache>
                <c:formatCode>General</c:formatCode>
                <c:ptCount val="101"/>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1</c:v>
                </c:pt>
                <c:pt idx="58">
                  <c:v>1</c:v>
                </c:pt>
                <c:pt idx="59">
                  <c:v>1</c:v>
                </c:pt>
                <c:pt idx="60">
                  <c:v>1</c:v>
                </c:pt>
                <c:pt idx="61">
                  <c:v>1</c:v>
                </c:pt>
                <c:pt idx="62">
                  <c:v>1</c:v>
                </c:pt>
                <c:pt idx="63">
                  <c:v>1</c:v>
                </c:pt>
                <c:pt idx="64">
                  <c:v>1</c:v>
                </c:pt>
                <c:pt idx="65">
                  <c:v>1</c:v>
                </c:pt>
                <c:pt idx="66">
                  <c:v>1</c:v>
                </c:pt>
                <c:pt idx="67">
                  <c:v>1</c:v>
                </c:pt>
                <c:pt idx="68">
                  <c:v>1</c:v>
                </c:pt>
                <c:pt idx="69">
                  <c:v>1</c:v>
                </c:pt>
                <c:pt idx="70">
                  <c:v>1</c:v>
                </c:pt>
                <c:pt idx="71">
                  <c:v>1</c:v>
                </c:pt>
                <c:pt idx="72">
                  <c:v>1</c:v>
                </c:pt>
                <c:pt idx="73">
                  <c:v>1</c:v>
                </c:pt>
                <c:pt idx="74">
                  <c:v>1</c:v>
                </c:pt>
                <c:pt idx="75">
                  <c:v>1</c:v>
                </c:pt>
                <c:pt idx="76">
                  <c:v>1</c:v>
                </c:pt>
                <c:pt idx="77">
                  <c:v>1</c:v>
                </c:pt>
                <c:pt idx="78">
                  <c:v>1</c:v>
                </c:pt>
                <c:pt idx="79">
                  <c:v>1</c:v>
                </c:pt>
                <c:pt idx="80">
                  <c:v>1</c:v>
                </c:pt>
                <c:pt idx="81">
                  <c:v>1</c:v>
                </c:pt>
                <c:pt idx="82">
                  <c:v>1</c:v>
                </c:pt>
                <c:pt idx="83">
                  <c:v>1</c:v>
                </c:pt>
                <c:pt idx="84">
                  <c:v>1</c:v>
                </c:pt>
                <c:pt idx="85">
                  <c:v>1</c:v>
                </c:pt>
                <c:pt idx="86">
                  <c:v>1</c:v>
                </c:pt>
                <c:pt idx="87">
                  <c:v>1</c:v>
                </c:pt>
                <c:pt idx="88">
                  <c:v>1</c:v>
                </c:pt>
                <c:pt idx="89">
                  <c:v>1</c:v>
                </c:pt>
                <c:pt idx="90">
                  <c:v>1</c:v>
                </c:pt>
                <c:pt idx="91">
                  <c:v>1</c:v>
                </c:pt>
                <c:pt idx="92">
                  <c:v>1</c:v>
                </c:pt>
                <c:pt idx="93">
                  <c:v>1</c:v>
                </c:pt>
                <c:pt idx="94">
                  <c:v>1</c:v>
                </c:pt>
                <c:pt idx="95">
                  <c:v>1</c:v>
                </c:pt>
                <c:pt idx="96">
                  <c:v>1</c:v>
                </c:pt>
                <c:pt idx="97">
                  <c:v>1</c:v>
                </c:pt>
                <c:pt idx="98">
                  <c:v>1</c:v>
                </c:pt>
                <c:pt idx="99">
                  <c:v>1</c:v>
                </c:pt>
                <c:pt idx="100">
                  <c:v>100</c:v>
                </c:pt>
              </c:numCache>
            </c:numRef>
          </c:val>
          <c:extLst>
            <c:ext xmlns:c16="http://schemas.microsoft.com/office/drawing/2014/chart" uri="{C3380CC4-5D6E-409C-BE32-E72D297353CC}">
              <c16:uniqueId val="{00000008-C33C-4DBE-9112-690D0DF60A9C}"/>
            </c:ext>
          </c:extLst>
        </c:ser>
        <c:dLbls>
          <c:showLegendKey val="0"/>
          <c:showVal val="0"/>
          <c:showCatName val="0"/>
          <c:showSerName val="0"/>
          <c:showPercent val="0"/>
          <c:showBubbleSize val="0"/>
          <c:showLeaderLines val="1"/>
        </c:dLbls>
        <c:firstSliceAng val="270"/>
        <c:holeSize val="75"/>
      </c:doughnutChart>
      <c:doughnutChart>
        <c:varyColors val="1"/>
        <c:ser>
          <c:idx val="1"/>
          <c:order val="1"/>
          <c:tx>
            <c:v>Pointer</c:v>
          </c:tx>
          <c:spPr>
            <a:solidFill>
              <a:schemeClr val="tx1"/>
            </a:solidFill>
            <a:ln>
              <a:noFill/>
            </a:ln>
          </c:spPr>
          <c:dPt>
            <c:idx val="0"/>
            <c:bubble3D val="0"/>
            <c:spPr>
              <a:noFill/>
              <a:ln w="19050">
                <a:noFill/>
              </a:ln>
              <a:effectLst/>
            </c:spPr>
            <c:extLst>
              <c:ext xmlns:c16="http://schemas.microsoft.com/office/drawing/2014/chart" uri="{C3380CC4-5D6E-409C-BE32-E72D297353CC}">
                <c16:uniqueId val="{0000000A-C33C-4DBE-9112-690D0DF60A9C}"/>
              </c:ext>
            </c:extLst>
          </c:dPt>
          <c:dPt>
            <c:idx val="1"/>
            <c:bubble3D val="0"/>
            <c:spPr>
              <a:solidFill>
                <a:schemeClr val="tx1"/>
              </a:solidFill>
              <a:ln w="19050">
                <a:noFill/>
              </a:ln>
              <a:effectLst/>
            </c:spPr>
            <c:extLst>
              <c:ext xmlns:c16="http://schemas.microsoft.com/office/drawing/2014/chart" uri="{C3380CC4-5D6E-409C-BE32-E72D297353CC}">
                <c16:uniqueId val="{0000000C-C33C-4DBE-9112-690D0DF60A9C}"/>
              </c:ext>
            </c:extLst>
          </c:dPt>
          <c:dPt>
            <c:idx val="2"/>
            <c:bubble3D val="0"/>
            <c:spPr>
              <a:noFill/>
              <a:ln w="19050">
                <a:noFill/>
              </a:ln>
              <a:effectLst/>
            </c:spPr>
            <c:extLst>
              <c:ext xmlns:c16="http://schemas.microsoft.com/office/drawing/2014/chart" uri="{C3380CC4-5D6E-409C-BE32-E72D297353CC}">
                <c16:uniqueId val="{0000000E-C33C-4DBE-9112-690D0DF60A9C}"/>
              </c:ext>
            </c:extLst>
          </c:dPt>
          <c:dPt>
            <c:idx val="3"/>
            <c:bubble3D val="0"/>
            <c:spPr>
              <a:noFill/>
              <a:ln w="19050">
                <a:noFill/>
              </a:ln>
              <a:effectLst/>
            </c:spPr>
            <c:extLst>
              <c:ext xmlns:c16="http://schemas.microsoft.com/office/drawing/2014/chart" uri="{C3380CC4-5D6E-409C-BE32-E72D297353CC}">
                <c16:uniqueId val="{00000011-C33C-4DBE-9112-690D0DF60A9C}"/>
              </c:ext>
            </c:extLst>
          </c:dPt>
          <c:val>
            <c:numRef>
              <c:f>Biodiversity!$Z$81:$Z$84</c:f>
              <c:numCache>
                <c:formatCode>General</c:formatCode>
                <c:ptCount val="4"/>
                <c:pt idx="0">
                  <c:v>0</c:v>
                </c:pt>
                <c:pt idx="1">
                  <c:v>1</c:v>
                </c:pt>
                <c:pt idx="2">
                  <c:v>100</c:v>
                </c:pt>
                <c:pt idx="3">
                  <c:v>100</c:v>
                </c:pt>
              </c:numCache>
            </c:numRef>
          </c:val>
          <c:extLst>
            <c:ext xmlns:c16="http://schemas.microsoft.com/office/drawing/2014/chart" uri="{C3380CC4-5D6E-409C-BE32-E72D297353CC}">
              <c16:uniqueId val="{0000000F-C33C-4DBE-9112-690D0DF60A9C}"/>
            </c:ext>
          </c:extLst>
        </c:ser>
        <c:dLbls>
          <c:showLegendKey val="0"/>
          <c:showVal val="0"/>
          <c:showCatName val="0"/>
          <c:showSerName val="0"/>
          <c:showPercent val="0"/>
          <c:showBubbleSize val="0"/>
          <c:showLeaderLines val="1"/>
        </c:dLbls>
        <c:firstSliceAng val="270"/>
        <c:holeSize val="5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doughnutChart>
        <c:varyColors val="1"/>
        <c:ser>
          <c:idx val="0"/>
          <c:order val="0"/>
          <c:spPr>
            <a:ln>
              <a:noFill/>
            </a:ln>
          </c:spPr>
          <c:dPt>
            <c:idx val="0"/>
            <c:bubble3D val="0"/>
            <c:spPr>
              <a:solidFill>
                <a:schemeClr val="accent2">
                  <a:tint val="50000"/>
                </a:schemeClr>
              </a:solidFill>
              <a:ln w="19050">
                <a:noFill/>
              </a:ln>
              <a:effectLst/>
            </c:spPr>
            <c:extLst>
              <c:ext xmlns:c16="http://schemas.microsoft.com/office/drawing/2014/chart" uri="{C3380CC4-5D6E-409C-BE32-E72D297353CC}">
                <c16:uniqueId val="{00000001-F6ED-4C20-A9C1-5F1637F0329C}"/>
              </c:ext>
            </c:extLst>
          </c:dPt>
          <c:dPt>
            <c:idx val="1"/>
            <c:bubble3D val="0"/>
            <c:spPr>
              <a:solidFill>
                <a:schemeClr val="accent2">
                  <a:tint val="70000"/>
                </a:schemeClr>
              </a:solidFill>
              <a:ln w="19050">
                <a:noFill/>
              </a:ln>
              <a:effectLst/>
            </c:spPr>
            <c:extLst>
              <c:ext xmlns:c16="http://schemas.microsoft.com/office/drawing/2014/chart" uri="{C3380CC4-5D6E-409C-BE32-E72D297353CC}">
                <c16:uniqueId val="{00000003-F6ED-4C20-A9C1-5F1637F0329C}"/>
              </c:ext>
            </c:extLst>
          </c:dPt>
          <c:dPt>
            <c:idx val="2"/>
            <c:bubble3D val="0"/>
            <c:spPr>
              <a:solidFill>
                <a:schemeClr val="accent2">
                  <a:tint val="90000"/>
                </a:schemeClr>
              </a:solidFill>
              <a:ln w="19050">
                <a:noFill/>
              </a:ln>
              <a:effectLst/>
            </c:spPr>
            <c:extLst>
              <c:ext xmlns:c16="http://schemas.microsoft.com/office/drawing/2014/chart" uri="{C3380CC4-5D6E-409C-BE32-E72D297353CC}">
                <c16:uniqueId val="{00000005-F6ED-4C20-A9C1-5F1637F0329C}"/>
              </c:ext>
            </c:extLst>
          </c:dPt>
          <c:dPt>
            <c:idx val="3"/>
            <c:bubble3D val="0"/>
            <c:spPr>
              <a:solidFill>
                <a:schemeClr val="accent2">
                  <a:shade val="90000"/>
                </a:schemeClr>
              </a:solidFill>
              <a:ln w="19050">
                <a:noFill/>
              </a:ln>
              <a:effectLst/>
            </c:spPr>
            <c:extLst>
              <c:ext xmlns:c16="http://schemas.microsoft.com/office/drawing/2014/chart" uri="{C3380CC4-5D6E-409C-BE32-E72D297353CC}">
                <c16:uniqueId val="{00000007-F6ED-4C20-A9C1-5F1637F0329C}"/>
              </c:ext>
            </c:extLst>
          </c:dPt>
          <c:dPt>
            <c:idx val="4"/>
            <c:bubble3D val="0"/>
            <c:spPr>
              <a:solidFill>
                <a:schemeClr val="accent2">
                  <a:shade val="70000"/>
                </a:schemeClr>
              </a:solidFill>
              <a:ln w="19050">
                <a:noFill/>
              </a:ln>
              <a:effectLst/>
            </c:spPr>
            <c:extLst>
              <c:ext xmlns:c16="http://schemas.microsoft.com/office/drawing/2014/chart" uri="{C3380CC4-5D6E-409C-BE32-E72D297353CC}">
                <c16:uniqueId val="{00000009-48E9-4B21-AC37-D4C23C3E605A}"/>
              </c:ext>
            </c:extLst>
          </c:dPt>
          <c:dPt>
            <c:idx val="5"/>
            <c:bubble3D val="0"/>
            <c:spPr>
              <a:noFill/>
              <a:ln w="19050">
                <a:noFill/>
              </a:ln>
              <a:effectLst/>
            </c:spPr>
            <c:extLst>
              <c:ext xmlns:c16="http://schemas.microsoft.com/office/drawing/2014/chart" uri="{C3380CC4-5D6E-409C-BE32-E72D297353CC}">
                <c16:uniqueId val="{00000010-F6ED-4C20-A9C1-5F1637F0329C}"/>
              </c:ext>
            </c:extLst>
          </c:dPt>
          <c:cat>
            <c:strRef>
              <c:f>Biodiversity!$L$81:$L$84</c:f>
              <c:strCache>
                <c:ptCount val="4"/>
                <c:pt idx="0">
                  <c:v>KBA</c:v>
                </c:pt>
                <c:pt idx="1">
                  <c:v>Near</c:v>
                </c:pt>
                <c:pt idx="2">
                  <c:v>Not KBA</c:v>
                </c:pt>
                <c:pt idx="3">
                  <c:v>Empty</c:v>
                </c:pt>
              </c:strCache>
            </c:strRef>
          </c:cat>
          <c:val>
            <c:numRef>
              <c:f>Biodiversity!$AB$81:$AB$86</c:f>
              <c:numCache>
                <c:formatCode>General</c:formatCode>
                <c:ptCount val="6"/>
                <c:pt idx="0">
                  <c:v>10</c:v>
                </c:pt>
                <c:pt idx="1">
                  <c:v>10</c:v>
                </c:pt>
                <c:pt idx="2">
                  <c:v>20</c:v>
                </c:pt>
                <c:pt idx="3">
                  <c:v>40</c:v>
                </c:pt>
                <c:pt idx="4">
                  <c:v>20</c:v>
                </c:pt>
                <c:pt idx="5">
                  <c:v>100</c:v>
                </c:pt>
              </c:numCache>
            </c:numRef>
          </c:val>
          <c:extLst>
            <c:ext xmlns:c16="http://schemas.microsoft.com/office/drawing/2014/chart" uri="{C3380CC4-5D6E-409C-BE32-E72D297353CC}">
              <c16:uniqueId val="{00000008-F6ED-4C20-A9C1-5F1637F0329C}"/>
            </c:ext>
          </c:extLst>
        </c:ser>
        <c:dLbls>
          <c:showLegendKey val="0"/>
          <c:showVal val="0"/>
          <c:showCatName val="0"/>
          <c:showSerName val="0"/>
          <c:showPercent val="0"/>
          <c:showBubbleSize val="0"/>
          <c:showLeaderLines val="1"/>
        </c:dLbls>
        <c:firstSliceAng val="270"/>
        <c:holeSize val="75"/>
      </c:doughnutChart>
      <c:doughnutChart>
        <c:varyColors val="1"/>
        <c:ser>
          <c:idx val="1"/>
          <c:order val="1"/>
          <c:tx>
            <c:v>Pointer</c:v>
          </c:tx>
          <c:spPr>
            <a:solidFill>
              <a:schemeClr val="tx1"/>
            </a:solidFill>
            <a:ln>
              <a:noFill/>
            </a:ln>
          </c:spPr>
          <c:dPt>
            <c:idx val="0"/>
            <c:bubble3D val="0"/>
            <c:spPr>
              <a:noFill/>
              <a:ln w="19050">
                <a:noFill/>
              </a:ln>
              <a:effectLst/>
            </c:spPr>
            <c:extLst>
              <c:ext xmlns:c16="http://schemas.microsoft.com/office/drawing/2014/chart" uri="{C3380CC4-5D6E-409C-BE32-E72D297353CC}">
                <c16:uniqueId val="{0000000A-F6ED-4C20-A9C1-5F1637F0329C}"/>
              </c:ext>
            </c:extLst>
          </c:dPt>
          <c:dPt>
            <c:idx val="1"/>
            <c:bubble3D val="0"/>
            <c:spPr>
              <a:solidFill>
                <a:schemeClr val="tx1"/>
              </a:solidFill>
              <a:ln w="19050">
                <a:noFill/>
              </a:ln>
              <a:effectLst/>
            </c:spPr>
            <c:extLst>
              <c:ext xmlns:c16="http://schemas.microsoft.com/office/drawing/2014/chart" uri="{C3380CC4-5D6E-409C-BE32-E72D297353CC}">
                <c16:uniqueId val="{0000000C-F6ED-4C20-A9C1-5F1637F0329C}"/>
              </c:ext>
            </c:extLst>
          </c:dPt>
          <c:dPt>
            <c:idx val="2"/>
            <c:bubble3D val="0"/>
            <c:spPr>
              <a:noFill/>
              <a:ln w="19050">
                <a:noFill/>
              </a:ln>
              <a:effectLst/>
            </c:spPr>
            <c:extLst>
              <c:ext xmlns:c16="http://schemas.microsoft.com/office/drawing/2014/chart" uri="{C3380CC4-5D6E-409C-BE32-E72D297353CC}">
                <c16:uniqueId val="{0000000E-F6ED-4C20-A9C1-5F1637F0329C}"/>
              </c:ext>
            </c:extLst>
          </c:dPt>
          <c:dPt>
            <c:idx val="3"/>
            <c:bubble3D val="0"/>
            <c:spPr>
              <a:noFill/>
              <a:ln w="19050">
                <a:noFill/>
              </a:ln>
              <a:effectLst/>
            </c:spPr>
            <c:extLst>
              <c:ext xmlns:c16="http://schemas.microsoft.com/office/drawing/2014/chart" uri="{C3380CC4-5D6E-409C-BE32-E72D297353CC}">
                <c16:uniqueId val="{00000011-F6ED-4C20-A9C1-5F1637F0329C}"/>
              </c:ext>
            </c:extLst>
          </c:dPt>
          <c:dPt>
            <c:idx val="4"/>
            <c:bubble3D val="0"/>
            <c:spPr>
              <a:solidFill>
                <a:schemeClr val="tx1"/>
              </a:solidFill>
              <a:ln w="19050">
                <a:noFill/>
              </a:ln>
              <a:effectLst/>
            </c:spPr>
            <c:extLst>
              <c:ext xmlns:c16="http://schemas.microsoft.com/office/drawing/2014/chart" uri="{C3380CC4-5D6E-409C-BE32-E72D297353CC}">
                <c16:uniqueId val="{00000015-48E9-4B21-AC37-D4C23C3E605A}"/>
              </c:ext>
            </c:extLst>
          </c:dPt>
          <c:dPt>
            <c:idx val="5"/>
            <c:bubble3D val="0"/>
            <c:spPr>
              <a:noFill/>
              <a:ln w="19050">
                <a:noFill/>
              </a:ln>
              <a:effectLst/>
            </c:spPr>
            <c:extLst>
              <c:ext xmlns:c16="http://schemas.microsoft.com/office/drawing/2014/chart" uri="{C3380CC4-5D6E-409C-BE32-E72D297353CC}">
                <c16:uniqueId val="{00000012-F6ED-4C20-A9C1-5F1637F0329C}"/>
              </c:ext>
            </c:extLst>
          </c:dPt>
          <c:dPt>
            <c:idx val="6"/>
            <c:bubble3D val="0"/>
            <c:spPr>
              <a:noFill/>
              <a:ln w="19050">
                <a:noFill/>
              </a:ln>
              <a:effectLst/>
            </c:spPr>
            <c:extLst>
              <c:ext xmlns:c16="http://schemas.microsoft.com/office/drawing/2014/chart" uri="{C3380CC4-5D6E-409C-BE32-E72D297353CC}">
                <c16:uniqueId val="{00000013-F6ED-4C20-A9C1-5F1637F0329C}"/>
              </c:ext>
            </c:extLst>
          </c:dPt>
          <c:val>
            <c:numRef>
              <c:f>Biodiversity!$AE$81:$AE$84</c:f>
              <c:numCache>
                <c:formatCode>General</c:formatCode>
                <c:ptCount val="4"/>
                <c:pt idx="0">
                  <c:v>0</c:v>
                </c:pt>
                <c:pt idx="1">
                  <c:v>1</c:v>
                </c:pt>
                <c:pt idx="2">
                  <c:v>100</c:v>
                </c:pt>
                <c:pt idx="3">
                  <c:v>100</c:v>
                </c:pt>
              </c:numCache>
            </c:numRef>
          </c:val>
          <c:extLst>
            <c:ext xmlns:c16="http://schemas.microsoft.com/office/drawing/2014/chart" uri="{C3380CC4-5D6E-409C-BE32-E72D297353CC}">
              <c16:uniqueId val="{0000000F-F6ED-4C20-A9C1-5F1637F0329C}"/>
            </c:ext>
          </c:extLst>
        </c:ser>
        <c:dLbls>
          <c:showLegendKey val="0"/>
          <c:showVal val="0"/>
          <c:showCatName val="0"/>
          <c:showSerName val="0"/>
          <c:showPercent val="0"/>
          <c:showBubbleSize val="0"/>
          <c:showLeaderLines val="1"/>
        </c:dLbls>
        <c:firstSliceAng val="270"/>
        <c:holeSize val="5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spPr>
            <a:solidFill>
              <a:srgbClr val="5F6B6D"/>
            </a:solidFill>
            <a:ln>
              <a:noFill/>
            </a:ln>
            <a:effectLst/>
          </c:spPr>
          <c:invertIfNegative val="0"/>
          <c:dLbls>
            <c:dLbl>
              <c:idx val="0"/>
              <c:tx>
                <c:rich>
                  <a:bodyPr/>
                  <a:lstStyle/>
                  <a:p>
                    <a:fld id="{238B1367-13F1-4A64-AF18-BA5D4A604A93}" type="CELLRANGE">
                      <a:rPr lang="en-GB"/>
                      <a:pPr/>
                      <a:t>[CELLRANGE]</a:t>
                    </a:fld>
                    <a:endParaRPr lang="en-GB"/>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3B67-401A-A95E-ABB77E75FE80}"/>
                </c:ext>
              </c:extLst>
            </c:dLbl>
            <c:dLbl>
              <c:idx val="1"/>
              <c:tx>
                <c:rich>
                  <a:bodyPr/>
                  <a:lstStyle/>
                  <a:p>
                    <a:fld id="{DC8D2D10-CBE5-418F-8551-88A4EC4C69E7}" type="CELLRANGE">
                      <a:rPr lang="en-GB"/>
                      <a:pPr/>
                      <a:t>[CELLRANGE]</a:t>
                    </a:fld>
                    <a:endParaRPr lang="en-GB"/>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3B67-401A-A95E-ABB77E75FE80}"/>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Roboto" panose="02000000000000000000" pitchFamily="2" charset="0"/>
                    <a:ea typeface="Roboto" panose="02000000000000000000" pitchFamily="2" charset="0"/>
                    <a:cs typeface="+mn-cs"/>
                  </a:defRPr>
                </a:pPr>
                <a:endParaRPr lang="en-US"/>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Biodiversity!$AH$54:$AI$54</c:f>
              <c:strCache>
                <c:ptCount val="2"/>
                <c:pt idx="0">
                  <c:v>With project</c:v>
                </c:pt>
                <c:pt idx="1">
                  <c:v>Without project</c:v>
                </c:pt>
              </c:strCache>
            </c:strRef>
          </c:cat>
          <c:val>
            <c:numRef>
              <c:f>Biodiversity!$AH$55:$AI$55</c:f>
              <c:numCache>
                <c:formatCode>#,##0</c:formatCode>
                <c:ptCount val="2"/>
                <c:pt idx="0">
                  <c:v>0</c:v>
                </c:pt>
                <c:pt idx="1">
                  <c:v>0</c:v>
                </c:pt>
              </c:numCache>
            </c:numRef>
          </c:val>
          <c:extLst>
            <c:ext xmlns:c15="http://schemas.microsoft.com/office/drawing/2012/chart" uri="{02D57815-91ED-43cb-92C2-25804820EDAC}">
              <c15:datalabelsRange>
                <c15:f>Biodiversity!$AH$59:$AI$59</c15:f>
                <c15:dlblRangeCache>
                  <c:ptCount val="2"/>
                  <c:pt idx="0">
                    <c:v>0 ha</c:v>
                  </c:pt>
                  <c:pt idx="1">
                    <c:v>0 ha</c:v>
                  </c:pt>
                </c15:dlblRangeCache>
              </c15:datalabelsRange>
            </c:ext>
            <c:ext xmlns:c16="http://schemas.microsoft.com/office/drawing/2014/chart" uri="{C3380CC4-5D6E-409C-BE32-E72D297353CC}">
              <c16:uniqueId val="{00000002-3B67-401A-A95E-ABB77E75FE80}"/>
            </c:ext>
          </c:extLst>
        </c:ser>
        <c:ser>
          <c:idx val="1"/>
          <c:order val="1"/>
          <c:spPr>
            <a:blipFill>
              <a:blip xmlns:r="http://schemas.openxmlformats.org/officeDocument/2006/relationships" r:embed="rId3"/>
              <a:stretch>
                <a:fillRect/>
              </a:stretch>
            </a:blipFill>
            <a:ln>
              <a:noFill/>
            </a:ln>
            <a:effectLst/>
          </c:spPr>
          <c:invertIfNegative val="0"/>
          <c:dLbls>
            <c:delete val="1"/>
          </c:dLbls>
          <c:cat>
            <c:strRef>
              <c:f>Biodiversity!$AH$54:$AI$54</c:f>
              <c:strCache>
                <c:ptCount val="2"/>
                <c:pt idx="0">
                  <c:v>With project</c:v>
                </c:pt>
                <c:pt idx="1">
                  <c:v>Without project</c:v>
                </c:pt>
              </c:strCache>
            </c:strRef>
          </c:cat>
          <c:val>
            <c:numRef>
              <c:f>Biodiversity!$AH$56:$AI$56</c:f>
              <c:numCache>
                <c:formatCode>#,##0</c:formatCode>
                <c:ptCount val="2"/>
                <c:pt idx="0">
                  <c:v>0</c:v>
                </c:pt>
                <c:pt idx="1">
                  <c:v>0</c:v>
                </c:pt>
              </c:numCache>
            </c:numRef>
          </c:val>
          <c:extLst>
            <c:ext xmlns:c16="http://schemas.microsoft.com/office/drawing/2014/chart" uri="{C3380CC4-5D6E-409C-BE32-E72D297353CC}">
              <c16:uniqueId val="{00000003-3B67-401A-A95E-ABB77E75FE80}"/>
            </c:ext>
          </c:extLst>
        </c:ser>
        <c:dLbls>
          <c:dLblPos val="ctr"/>
          <c:showLegendKey val="0"/>
          <c:showVal val="1"/>
          <c:showCatName val="0"/>
          <c:showSerName val="0"/>
          <c:showPercent val="0"/>
          <c:showBubbleSize val="0"/>
        </c:dLbls>
        <c:gapWidth val="40"/>
        <c:overlap val="100"/>
        <c:axId val="773752488"/>
        <c:axId val="773753144"/>
      </c:barChart>
      <c:catAx>
        <c:axId val="77375248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ysClr val="windowText" lastClr="000000"/>
                </a:solidFill>
                <a:latin typeface="Century Gothic" panose="020B0502020202020204" pitchFamily="34" charset="0"/>
                <a:ea typeface="+mn-ea"/>
                <a:cs typeface="+mn-cs"/>
              </a:defRPr>
            </a:pPr>
            <a:endParaRPr lang="en-US"/>
          </a:p>
        </c:txPr>
        <c:crossAx val="773753144"/>
        <c:crosses val="autoZero"/>
        <c:auto val="1"/>
        <c:lblAlgn val="ctr"/>
        <c:lblOffset val="100"/>
        <c:noMultiLvlLbl val="0"/>
      </c:catAx>
      <c:valAx>
        <c:axId val="773753144"/>
        <c:scaling>
          <c:orientation val="minMax"/>
          <c:min val="0"/>
        </c:scaling>
        <c:delete val="1"/>
        <c:axPos val="b"/>
        <c:numFmt formatCode="0%" sourceLinked="1"/>
        <c:majorTickMark val="out"/>
        <c:minorTickMark val="none"/>
        <c:tickLblPos val="nextTo"/>
        <c:crossAx val="773752488"/>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
    <cx:plotArea>
      <cx:plotAreaRegion/>
    </cx:plotArea>
  </cx:chart>
  <cx:spPr>
    <a:noFill/>
    <a:ln>
      <a:noFill/>
    </a:ln>
  </cx:spPr>
</cx:chartSpace>
</file>

<file path=xl/charts/chartEx10.xml><?xml version="1.0" encoding="utf-8"?>
<cx:chartSpace xmlns:a="http://schemas.openxmlformats.org/drawingml/2006/main" xmlns:r="http://schemas.openxmlformats.org/officeDocument/2006/relationships" xmlns:cx="http://schemas.microsoft.com/office/drawing/2014/chartex">
  <cx:chartData>
    <cx:data id="0">
      <cx:strDim type="cat">
        <cx:f>_xlchart.v1.12</cx:f>
      </cx:strDim>
      <cx:numDim type="size">
        <cx:f>_xlchart.v1.13</cx:f>
      </cx:numDim>
    </cx:data>
  </cx:chartData>
  <cx:chart>
    <cx:plotArea>
      <cx:plotAreaRegion>
        <cx:series layoutId="treemap" uniqueId="{352B0825-A44A-4AB3-A630-DF18B7AB1D2B}">
          <cx:dataLabels pos="inEnd">
            <cx:visibility seriesName="0" categoryName="1" value="0"/>
          </cx:dataLabels>
          <cx:dataId val="0"/>
          <cx:layoutPr>
            <cx:parentLabelLayout val="overlapping"/>
          </cx:layoutPr>
        </cx:series>
      </cx:plotAreaRegion>
    </cx:plotArea>
  </cx:chart>
  <cx:spPr>
    <a:noFill/>
    <a:ln>
      <a:noFill/>
    </a:ln>
  </cx:spPr>
</cx:chartSpace>
</file>

<file path=xl/charts/chartEx11.xml><?xml version="1.0" encoding="utf-8"?>
<cx:chartSpace xmlns:a="http://schemas.openxmlformats.org/drawingml/2006/main" xmlns:r="http://schemas.openxmlformats.org/officeDocument/2006/relationships" xmlns:cx="http://schemas.microsoft.com/office/drawing/2014/chartex">
  <cx:chartData>
    <cx:data id="0">
      <cx:strDim type="cat">
        <cx:f>_xlchart.v1.10</cx:f>
      </cx:strDim>
      <cx:numDim type="size">
        <cx:f>_xlchart.v1.11</cx:f>
      </cx:numDim>
    </cx:data>
  </cx:chartData>
  <cx:chart>
    <cx:plotArea>
      <cx:plotAreaRegion>
        <cx:series layoutId="treemap" uniqueId="{486B3D75-56D3-4D6A-B788-045FB7B0E0FB}">
          <cx:dataLabels pos="inEnd">
            <cx:visibility seriesName="0" categoryName="1" value="0"/>
          </cx:dataLabels>
          <cx:dataId val="0"/>
          <cx:layoutPr>
            <cx:parentLabelLayout val="overlapping"/>
          </cx:layoutPr>
        </cx:series>
      </cx:plotAreaRegion>
    </cx:plotArea>
  </cx:chart>
  <cx:spPr>
    <a:noFill/>
    <a:ln>
      <a:noFill/>
    </a:ln>
  </cx:spPr>
</cx:chartSpace>
</file>

<file path=xl/charts/chartEx2.xml><?xml version="1.0" encoding="utf-8"?>
<cx:chartSpace xmlns:a="http://schemas.openxmlformats.org/drawingml/2006/main" xmlns:r="http://schemas.openxmlformats.org/officeDocument/2006/relationships" xmlns:cx="http://schemas.microsoft.com/office/drawing/2014/chartex">
  <cx:chart>
    <cx:plotArea>
      <cx:plotAreaRegion/>
    </cx:plotArea>
  </cx:chart>
  <cx:spPr>
    <a:noFill/>
    <a:ln>
      <a:noFill/>
    </a:ln>
  </cx:spPr>
</cx:chartSpace>
</file>

<file path=xl/charts/chartEx3.xml><?xml version="1.0" encoding="utf-8"?>
<cx:chartSpace xmlns:a="http://schemas.openxmlformats.org/drawingml/2006/main" xmlns:r="http://schemas.openxmlformats.org/officeDocument/2006/relationships" xmlns:cx="http://schemas.microsoft.com/office/drawing/2014/chartex">
  <cx:chart>
    <cx:plotArea>
      <cx:plotAreaRegion/>
    </cx:plotArea>
  </cx:chart>
  <cx:spPr>
    <a:noFill/>
    <a:ln>
      <a:noFill/>
    </a:ln>
  </cx:spPr>
  <cx:clrMapOvr bg1="lt1" tx1="dk1" bg2="lt2" tx2="dk2" accent1="accent1" accent2="accent2" accent3="accent3" accent4="accent4" accent5="accent5" accent6="accent6" hlink="hlink" folHlink="folHlink"/>
</cx:chartSpace>
</file>

<file path=xl/charts/chartEx4.xml><?xml version="1.0" encoding="utf-8"?>
<cx:chartSpace xmlns:a="http://schemas.openxmlformats.org/drawingml/2006/main" xmlns:r="http://schemas.openxmlformats.org/officeDocument/2006/relationships" xmlns:cx="http://schemas.microsoft.com/office/drawing/2014/chartex">
  <cx:chart>
    <cx:plotArea>
      <cx:plotAreaRegion/>
    </cx:plotArea>
  </cx:chart>
  <cx:spPr>
    <a:noFill/>
    <a:ln>
      <a:noFill/>
    </a:ln>
  </cx:spPr>
  <cx:clrMapOvr bg1="lt1" tx1="dk1" bg2="lt2" tx2="dk2" accent1="accent1" accent2="accent2" accent3="accent3" accent4="accent4" accent5="accent5" accent6="accent6" hlink="hlink" folHlink="folHlink"/>
</cx:chartSpace>
</file>

<file path=xl/charts/chartEx5.xml><?xml version="1.0" encoding="utf-8"?>
<cx:chartSpace xmlns:a="http://schemas.openxmlformats.org/drawingml/2006/main" xmlns:r="http://schemas.openxmlformats.org/officeDocument/2006/relationships" xmlns:cx="http://schemas.microsoft.com/office/drawing/2014/chartex">
  <cx:chartData>
    <cx:data id="0">
      <cx:strDim type="cat">
        <cx:f>_xlchart.v1.2</cx:f>
      </cx:strDim>
      <cx:numDim type="size">
        <cx:f>_xlchart.v1.3</cx:f>
      </cx:numDim>
    </cx:data>
  </cx:chartData>
  <cx:chart>
    <cx:plotArea>
      <cx:plotAreaRegion>
        <cx:series layoutId="treemap" uniqueId="{CF2EEAAE-0067-4211-AACF-2E71511FAB09}">
          <cx:spPr>
            <a:ln>
              <a:noFill/>
            </a:ln>
          </cx:spPr>
          <cx:dataLabels pos="inEnd">
            <cx:visibility seriesName="0" categoryName="1" value="0"/>
          </cx:dataLabels>
          <cx:dataId val="0"/>
          <cx:layoutPr>
            <cx:parentLabelLayout val="overlapping"/>
          </cx:layoutPr>
        </cx:series>
      </cx:plotAreaRegion>
    </cx:plotArea>
  </cx:chart>
  <cx:spPr>
    <a:noFill/>
    <a:ln>
      <a:noFill/>
    </a:ln>
  </cx:spPr>
  <cx:clrMapOvr bg1="lt1" tx1="dk1" bg2="lt2" tx2="dk2" accent1="accent1" accent2="accent2" accent3="accent3" accent4="accent4" accent5="accent5" accent6="accent6" hlink="hlink" folHlink="folHlink"/>
</cx:chartSpace>
</file>

<file path=xl/charts/chartEx6.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size">
        <cx:f>_xlchart.v1.1</cx:f>
      </cx:numDim>
    </cx:data>
  </cx:chartData>
  <cx:chart>
    <cx:plotArea>
      <cx:plotAreaRegion>
        <cx:series layoutId="treemap" uniqueId="{9CA68AC7-9EB7-4488-B034-EAD6A3328CFB}">
          <cx:dataLabels pos="inEnd">
            <cx:visibility seriesName="0" categoryName="1" value="0"/>
            <cx:separator>, </cx:separator>
          </cx:dataLabels>
          <cx:dataId val="0"/>
          <cx:layoutPr>
            <cx:parentLabelLayout val="overlapping"/>
          </cx:layoutPr>
        </cx:series>
      </cx:plotAreaRegion>
    </cx:plotArea>
  </cx:chart>
  <cx:spPr>
    <a:noFill/>
    <a:ln>
      <a:noFill/>
    </a:ln>
  </cx:spPr>
  <cx:clrMapOvr bg1="lt1" tx1="dk1" bg2="lt2" tx2="dk2" accent1="accent1" accent2="accent2" accent3="accent3" accent4="accent4" accent5="accent5" accent6="accent6" hlink="hlink" folHlink="folHlink"/>
</cx:chartSpace>
</file>

<file path=xl/charts/chartEx7.xml><?xml version="1.0" encoding="utf-8"?>
<cx:chartSpace xmlns:a="http://schemas.openxmlformats.org/drawingml/2006/main" xmlns:r="http://schemas.openxmlformats.org/officeDocument/2006/relationships" xmlns:cx="http://schemas.microsoft.com/office/drawing/2014/chartex">
  <cx:chartData>
    <cx:data id="0">
      <cx:strDim type="cat">
        <cx:f>_xlchart.v1.4</cx:f>
      </cx:strDim>
      <cx:numDim type="size">
        <cx:f>_xlchart.v1.5</cx:f>
      </cx:numDim>
    </cx:data>
  </cx:chartData>
  <cx:chart>
    <cx:plotArea>
      <cx:plotAreaRegion>
        <cx:series layoutId="treemap" uniqueId="{CBF1D73C-5F2F-4168-A1C9-5B2C161B82A8}">
          <cx:dataLabels pos="inEnd">
            <cx:visibility seriesName="0" categoryName="1" value="0"/>
          </cx:dataLabels>
          <cx:dataId val="0"/>
          <cx:layoutPr>
            <cx:parentLabelLayout val="overlapping"/>
          </cx:layoutPr>
        </cx:series>
      </cx:plotAreaRegion>
    </cx:plotArea>
  </cx:chart>
  <cx:spPr>
    <a:noFill/>
    <a:ln>
      <a:noFill/>
    </a:ln>
  </cx:spPr>
</cx:chartSpace>
</file>

<file path=xl/charts/chartEx8.xml><?xml version="1.0" encoding="utf-8"?>
<cx:chartSpace xmlns:a="http://schemas.openxmlformats.org/drawingml/2006/main" xmlns:r="http://schemas.openxmlformats.org/officeDocument/2006/relationships" xmlns:cx="http://schemas.microsoft.com/office/drawing/2014/chartex">
  <cx:chartData>
    <cx:data id="0">
      <cx:strDim type="cat">
        <cx:f>_xlchart.v1.6</cx:f>
      </cx:strDim>
      <cx:numDim type="size">
        <cx:f>_xlchart.v1.7</cx:f>
      </cx:numDim>
    </cx:data>
  </cx:chartData>
  <cx:chart>
    <cx:plotArea>
      <cx:plotAreaRegion>
        <cx:series layoutId="treemap" uniqueId="{CF2EEAAE-0067-4211-AACF-2E71511FAB09}">
          <cx:spPr>
            <a:ln>
              <a:noFill/>
            </a:ln>
          </cx:spPr>
          <cx:dataLabels pos="inEnd">
            <cx:visibility seriesName="0" categoryName="1" value="0"/>
          </cx:dataLabels>
          <cx:dataId val="0"/>
          <cx:layoutPr>
            <cx:parentLabelLayout val="overlapping"/>
          </cx:layoutPr>
        </cx:series>
      </cx:plotAreaRegion>
    </cx:plotArea>
  </cx:chart>
  <cx:spPr>
    <a:noFill/>
    <a:ln>
      <a:noFill/>
    </a:ln>
  </cx:spPr>
  <cx:clrMapOvr bg1="lt1" tx1="dk1" bg2="lt2" tx2="dk2" accent1="accent1" accent2="accent2" accent3="accent3" accent4="accent4" accent5="accent5" accent6="accent6" hlink="hlink" folHlink="folHlink"/>
</cx:chartSpace>
</file>

<file path=xl/charts/chartEx9.xml><?xml version="1.0" encoding="utf-8"?>
<cx:chartSpace xmlns:a="http://schemas.openxmlformats.org/drawingml/2006/main" xmlns:r="http://schemas.openxmlformats.org/officeDocument/2006/relationships" xmlns:cx="http://schemas.microsoft.com/office/drawing/2014/chartex">
  <cx:chartData>
    <cx:data id="0">
      <cx:strDim type="cat">
        <cx:f>_xlchart.v1.8</cx:f>
      </cx:strDim>
      <cx:numDim type="size">
        <cx:f>_xlchart.v1.9</cx:f>
      </cx:numDim>
    </cx:data>
  </cx:chartData>
  <cx:chart>
    <cx:plotArea>
      <cx:plotAreaRegion>
        <cx:series layoutId="treemap" uniqueId="{9CA68AC7-9EB7-4488-B034-EAD6A3328CFB}">
          <cx:dataLabels pos="inEnd">
            <cx:visibility seriesName="0" categoryName="1" value="0"/>
            <cx:separator>, </cx:separator>
          </cx:dataLabels>
          <cx:dataId val="0"/>
          <cx:layoutPr>
            <cx:parentLabelLayout val="overlapping"/>
          </cx:layoutPr>
        </cx:series>
      </cx:plotAreaRegion>
    </cx:plotArea>
  </cx:chart>
  <cx:spPr>
    <a:noFill/>
    <a:ln>
      <a:noFill/>
    </a:ln>
  </cx:spPr>
  <cx:clrMapOvr bg1="lt1" tx1="dk1" bg2="lt2" tx2="dk2" accent1="accent1" accent2="accent2" accent3="accent3" accent4="accent4" accent5="accent5" accent6="accent6" hlink="hlink" folHlink="folHlink"/>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withinLinearReversed" id="26">
  <a:schemeClr val="accent6"/>
</cs:colorStyle>
</file>

<file path=xl/charts/colors17.xml><?xml version="1.0" encoding="utf-8"?>
<cs:colorStyle xmlns:cs="http://schemas.microsoft.com/office/drawing/2012/chartStyle" xmlns:a="http://schemas.openxmlformats.org/drawingml/2006/main" meth="withinLinearReversed" id="26">
  <a:schemeClr val="accent6"/>
</cs:colorStyle>
</file>

<file path=xl/charts/colors18.xml><?xml version="1.0" encoding="utf-8"?>
<cs:colorStyle xmlns:cs="http://schemas.microsoft.com/office/drawing/2012/chartStyle" xmlns:a="http://schemas.openxmlformats.org/drawingml/2006/main" meth="withinLinearReversed" id="22">
  <a:schemeClr val="accent2"/>
</cs:colorStyle>
</file>

<file path=xl/charts/colors19.xml><?xml version="1.0" encoding="utf-8"?>
<cs:colorStyle xmlns:cs="http://schemas.microsoft.com/office/drawing/2012/chartStyle" xmlns:a="http://schemas.openxmlformats.org/drawingml/2006/main" meth="withinLinearReversed" id="22">
  <a:schemeClr val="accent2"/>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bg1"/>
    </cs:fontRef>
    <cs:defRPr sz="900" kern="1200"/>
    <cs:bodyPr lIns="38100" tIns="19050" rIns="38100" bIns="19050">
      <a:spAutoFit/>
    </cs:bodyPr>
  </cs:dataLabel>
  <cs:dataLabelCallout>
    <cs:lnRef idx="0"/>
    <cs:fillRef idx="0"/>
    <cs:effectRef idx="0"/>
    <cs:fontRef idx="minor">
      <a:schemeClr val="tx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defRPr sz="900"/>
  </cs:dataTable>
  <cs:downBar>
    <cs:lnRef idx="0"/>
    <cs:fillRef idx="0"/>
    <cs:effectRef idx="0"/>
    <cs:fontRef idx="minor">
      <a:schemeClr val="tx1"/>
    </cs:fontRef>
    <cs:spPr>
      <a:solidFill>
        <a:schemeClr val="dk1"/>
      </a:solidFill>
    </cs:spPr>
  </cs:downBar>
  <cs:dropLine>
    <cs:lnRef idx="0"/>
    <cs:fillRef idx="0"/>
    <cs:effectRef idx="0"/>
    <cs:fontRef idx="minor">
      <a:schemeClr val="tx1"/>
    </cs:fontRef>
  </cs:dropLine>
  <cs:errorBar>
    <cs:lnRef idx="0"/>
    <cs:fillRef idx="0"/>
    <cs:effectRef idx="0"/>
    <cs:fontRef idx="minor">
      <a:schemeClr val="tx1"/>
    </cs:fontRef>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lumOff val="10000"/>
          </a:schemeClr>
        </a:solidFill>
        <a:round/>
      </a:ln>
    </cs:spPr>
  </cs:gridlineMinor>
  <cs:hiLoLine>
    <cs:lnRef idx="0"/>
    <cs:fillRef idx="0"/>
    <cs:effectRef idx="0"/>
    <cs:fontRef idx="minor">
      <a:schemeClr val="tx1"/>
    </cs:fontRef>
  </cs:hiLoLine>
  <cs:leaderLine>
    <cs:lnRef idx="0"/>
    <cs:fillRef idx="0"/>
    <cs:effectRef idx="0"/>
    <cs:fontRef idx="minor">
      <a:schemeClr val="tx1"/>
    </cs:fontRef>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tx1"/>
    </cs:fontRef>
    <cs:spPr>
      <a:solidFill>
        <a:schemeClr val="lt1"/>
      </a:solidFill>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bg1"/>
    </cs:fontRef>
    <cs:defRPr sz="900" kern="1200"/>
    <cs:bodyPr lIns="38100" tIns="19050" rIns="38100" bIns="19050">
      <a:spAutoFit/>
    </cs:bodyPr>
  </cs:dataLabel>
  <cs:dataLabelCallout>
    <cs:lnRef idx="0"/>
    <cs:fillRef idx="0"/>
    <cs:effectRef idx="0"/>
    <cs:fontRef idx="minor">
      <a:schemeClr val="tx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defRPr sz="900"/>
  </cs:dataTable>
  <cs:downBar>
    <cs:lnRef idx="0"/>
    <cs:fillRef idx="0"/>
    <cs:effectRef idx="0"/>
    <cs:fontRef idx="minor">
      <a:schemeClr val="tx1"/>
    </cs:fontRef>
    <cs:spPr>
      <a:solidFill>
        <a:schemeClr val="dk1"/>
      </a:solidFill>
    </cs:spPr>
  </cs:downBar>
  <cs:dropLine>
    <cs:lnRef idx="0"/>
    <cs:fillRef idx="0"/>
    <cs:effectRef idx="0"/>
    <cs:fontRef idx="minor">
      <a:schemeClr val="tx1"/>
    </cs:fontRef>
  </cs:dropLine>
  <cs:errorBar>
    <cs:lnRef idx="0"/>
    <cs:fillRef idx="0"/>
    <cs:effectRef idx="0"/>
    <cs:fontRef idx="minor">
      <a:schemeClr val="tx1"/>
    </cs:fontRef>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lumOff val="10000"/>
          </a:schemeClr>
        </a:solidFill>
        <a:round/>
      </a:ln>
    </cs:spPr>
  </cs:gridlineMinor>
  <cs:hiLoLine>
    <cs:lnRef idx="0"/>
    <cs:fillRef idx="0"/>
    <cs:effectRef idx="0"/>
    <cs:fontRef idx="minor">
      <a:schemeClr val="tx1"/>
    </cs:fontRef>
  </cs:hiLoLine>
  <cs:leaderLine>
    <cs:lnRef idx="0"/>
    <cs:fillRef idx="0"/>
    <cs:effectRef idx="0"/>
    <cs:fontRef idx="minor">
      <a:schemeClr val="tx1"/>
    </cs:fontRef>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tx1"/>
    </cs:fontRef>
    <cs:spPr>
      <a:solidFill>
        <a:schemeClr val="lt1"/>
      </a:solidFill>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4.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bg1"/>
    </cs:fontRef>
    <cs:defRPr sz="900" kern="1200"/>
    <cs:bodyPr lIns="38100" tIns="19050" rIns="38100" bIns="19050">
      <a:spAutoFit/>
    </cs:bodyPr>
  </cs:dataLabel>
  <cs:dataLabelCallout>
    <cs:lnRef idx="0"/>
    <cs:fillRef idx="0"/>
    <cs:effectRef idx="0"/>
    <cs:fontRef idx="minor">
      <a:schemeClr val="tx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defRPr sz="900"/>
  </cs:dataTable>
  <cs:downBar>
    <cs:lnRef idx="0"/>
    <cs:fillRef idx="0"/>
    <cs:effectRef idx="0"/>
    <cs:fontRef idx="minor">
      <a:schemeClr val="tx1"/>
    </cs:fontRef>
    <cs:spPr>
      <a:solidFill>
        <a:schemeClr val="dk1"/>
      </a:solidFill>
    </cs:spPr>
  </cs:downBar>
  <cs:dropLine>
    <cs:lnRef idx="0"/>
    <cs:fillRef idx="0"/>
    <cs:effectRef idx="0"/>
    <cs:fontRef idx="minor">
      <a:schemeClr val="tx1"/>
    </cs:fontRef>
  </cs:dropLine>
  <cs:errorBar>
    <cs:lnRef idx="0"/>
    <cs:fillRef idx="0"/>
    <cs:effectRef idx="0"/>
    <cs:fontRef idx="minor">
      <a:schemeClr val="tx1"/>
    </cs:fontRef>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lumOff val="10000"/>
          </a:schemeClr>
        </a:solidFill>
        <a:round/>
      </a:ln>
    </cs:spPr>
  </cs:gridlineMinor>
  <cs:hiLoLine>
    <cs:lnRef idx="0"/>
    <cs:fillRef idx="0"/>
    <cs:effectRef idx="0"/>
    <cs:fontRef idx="minor">
      <a:schemeClr val="tx1"/>
    </cs:fontRef>
  </cs:hiLoLine>
  <cs:leaderLine>
    <cs:lnRef idx="0"/>
    <cs:fillRef idx="0"/>
    <cs:effectRef idx="0"/>
    <cs:fontRef idx="minor">
      <a:schemeClr val="tx1"/>
    </cs:fontRef>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tx1"/>
    </cs:fontRef>
    <cs:spPr>
      <a:solidFill>
        <a:schemeClr val="lt1"/>
      </a:solidFill>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5.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bg1"/>
    </cs:fontRef>
    <cs:defRPr sz="900" kern="1200"/>
    <cs:bodyPr lIns="38100" tIns="19050" rIns="38100" bIns="19050">
      <a:spAutoFit/>
    </cs:bodyPr>
  </cs:dataLabel>
  <cs:dataLabelCallout>
    <cs:lnRef idx="0"/>
    <cs:fillRef idx="0"/>
    <cs:effectRef idx="0"/>
    <cs:fontRef idx="minor">
      <a:schemeClr val="tx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defRPr sz="900"/>
  </cs:dataTable>
  <cs:downBar>
    <cs:lnRef idx="0"/>
    <cs:fillRef idx="0"/>
    <cs:effectRef idx="0"/>
    <cs:fontRef idx="minor">
      <a:schemeClr val="tx1"/>
    </cs:fontRef>
    <cs:spPr>
      <a:solidFill>
        <a:schemeClr val="dk1"/>
      </a:solidFill>
    </cs:spPr>
  </cs:downBar>
  <cs:dropLine>
    <cs:lnRef idx="0"/>
    <cs:fillRef idx="0"/>
    <cs:effectRef idx="0"/>
    <cs:fontRef idx="minor">
      <a:schemeClr val="tx1"/>
    </cs:fontRef>
  </cs:dropLine>
  <cs:errorBar>
    <cs:lnRef idx="0"/>
    <cs:fillRef idx="0"/>
    <cs:effectRef idx="0"/>
    <cs:fontRef idx="minor">
      <a:schemeClr val="tx1"/>
    </cs:fontRef>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lumOff val="10000"/>
          </a:schemeClr>
        </a:solidFill>
        <a:round/>
      </a:ln>
    </cs:spPr>
  </cs:gridlineMinor>
  <cs:hiLoLine>
    <cs:lnRef idx="0"/>
    <cs:fillRef idx="0"/>
    <cs:effectRef idx="0"/>
    <cs:fontRef idx="minor">
      <a:schemeClr val="tx1"/>
    </cs:fontRef>
  </cs:hiLoLine>
  <cs:leaderLine>
    <cs:lnRef idx="0"/>
    <cs:fillRef idx="0"/>
    <cs:effectRef idx="0"/>
    <cs:fontRef idx="minor">
      <a:schemeClr val="tx1"/>
    </cs:fontRef>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tx1"/>
    </cs:fontRef>
    <cs:spPr>
      <a:solidFill>
        <a:schemeClr val="lt1"/>
      </a:solidFill>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bg1"/>
    </cs:fontRef>
    <cs:defRPr sz="900" kern="1200"/>
    <cs:bodyPr lIns="38100" tIns="19050" rIns="38100" bIns="19050">
      <a:spAutoFit/>
    </cs:bodyPr>
  </cs:dataLabel>
  <cs:dataLabelCallout>
    <cs:lnRef idx="0"/>
    <cs:fillRef idx="0"/>
    <cs:effectRef idx="0"/>
    <cs:fontRef idx="minor">
      <a:schemeClr val="tx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defRPr sz="900"/>
  </cs:dataTable>
  <cs:downBar>
    <cs:lnRef idx="0"/>
    <cs:fillRef idx="0"/>
    <cs:effectRef idx="0"/>
    <cs:fontRef idx="minor">
      <a:schemeClr val="tx1"/>
    </cs:fontRef>
    <cs:spPr>
      <a:solidFill>
        <a:schemeClr val="dk1"/>
      </a:solidFill>
    </cs:spPr>
  </cs:downBar>
  <cs:dropLine>
    <cs:lnRef idx="0"/>
    <cs:fillRef idx="0"/>
    <cs:effectRef idx="0"/>
    <cs:fontRef idx="minor">
      <a:schemeClr val="tx1"/>
    </cs:fontRef>
  </cs:dropLine>
  <cs:errorBar>
    <cs:lnRef idx="0"/>
    <cs:fillRef idx="0"/>
    <cs:effectRef idx="0"/>
    <cs:fontRef idx="minor">
      <a:schemeClr val="tx1"/>
    </cs:fontRef>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lumOff val="10000"/>
          </a:schemeClr>
        </a:solidFill>
        <a:round/>
      </a:ln>
    </cs:spPr>
  </cs:gridlineMinor>
  <cs:hiLoLine>
    <cs:lnRef idx="0"/>
    <cs:fillRef idx="0"/>
    <cs:effectRef idx="0"/>
    <cs:fontRef idx="minor">
      <a:schemeClr val="tx1"/>
    </cs:fontRef>
  </cs:hiLoLine>
  <cs:leaderLine>
    <cs:lnRef idx="0"/>
    <cs:fillRef idx="0"/>
    <cs:effectRef idx="0"/>
    <cs:fontRef idx="minor">
      <a:schemeClr val="tx1"/>
    </cs:fontRef>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tx1"/>
    </cs:fontRef>
    <cs:spPr>
      <a:solidFill>
        <a:schemeClr val="lt1"/>
      </a:solidFill>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bg1"/>
    </cs:fontRef>
    <cs:defRPr sz="900" kern="1200"/>
    <cs:bodyPr lIns="38100" tIns="19050" rIns="38100" bIns="19050">
      <a:spAutoFit/>
    </cs:bodyPr>
  </cs:dataLabel>
  <cs:dataLabelCallout>
    <cs:lnRef idx="0"/>
    <cs:fillRef idx="0"/>
    <cs:effectRef idx="0"/>
    <cs:fontRef idx="minor">
      <a:schemeClr val="tx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defRPr sz="900"/>
  </cs:dataTable>
  <cs:downBar>
    <cs:lnRef idx="0"/>
    <cs:fillRef idx="0"/>
    <cs:effectRef idx="0"/>
    <cs:fontRef idx="minor">
      <a:schemeClr val="tx1"/>
    </cs:fontRef>
    <cs:spPr>
      <a:solidFill>
        <a:schemeClr val="dk1"/>
      </a:solidFill>
    </cs:spPr>
  </cs:downBar>
  <cs:dropLine>
    <cs:lnRef idx="0"/>
    <cs:fillRef idx="0"/>
    <cs:effectRef idx="0"/>
    <cs:fontRef idx="minor">
      <a:schemeClr val="tx1"/>
    </cs:fontRef>
  </cs:dropLine>
  <cs:errorBar>
    <cs:lnRef idx="0"/>
    <cs:fillRef idx="0"/>
    <cs:effectRef idx="0"/>
    <cs:fontRef idx="minor">
      <a:schemeClr val="tx1"/>
    </cs:fontRef>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lumOff val="10000"/>
          </a:schemeClr>
        </a:solidFill>
        <a:round/>
      </a:ln>
    </cs:spPr>
  </cs:gridlineMinor>
  <cs:hiLoLine>
    <cs:lnRef idx="0"/>
    <cs:fillRef idx="0"/>
    <cs:effectRef idx="0"/>
    <cs:fontRef idx="minor">
      <a:schemeClr val="tx1"/>
    </cs:fontRef>
  </cs:hiLoLine>
  <cs:leaderLine>
    <cs:lnRef idx="0"/>
    <cs:fillRef idx="0"/>
    <cs:effectRef idx="0"/>
    <cs:fontRef idx="minor">
      <a:schemeClr val="tx1"/>
    </cs:fontRef>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tx1"/>
    </cs:fontRef>
    <cs:spPr>
      <a:solidFill>
        <a:schemeClr val="lt1"/>
      </a:solidFill>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bg1"/>
    </cs:fontRef>
    <cs:defRPr sz="900" kern="1200"/>
    <cs:bodyPr lIns="38100" tIns="19050" rIns="38100" bIns="19050">
      <a:spAutoFit/>
    </cs:bodyPr>
  </cs:dataLabel>
  <cs:dataLabelCallout>
    <cs:lnRef idx="0"/>
    <cs:fillRef idx="0"/>
    <cs:effectRef idx="0"/>
    <cs:fontRef idx="minor">
      <a:schemeClr val="tx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defRPr sz="900"/>
  </cs:dataTable>
  <cs:downBar>
    <cs:lnRef idx="0"/>
    <cs:fillRef idx="0"/>
    <cs:effectRef idx="0"/>
    <cs:fontRef idx="minor">
      <a:schemeClr val="tx1"/>
    </cs:fontRef>
    <cs:spPr>
      <a:solidFill>
        <a:schemeClr val="dk1"/>
      </a:solidFill>
    </cs:spPr>
  </cs:downBar>
  <cs:dropLine>
    <cs:lnRef idx="0"/>
    <cs:fillRef idx="0"/>
    <cs:effectRef idx="0"/>
    <cs:fontRef idx="minor">
      <a:schemeClr val="tx1"/>
    </cs:fontRef>
  </cs:dropLine>
  <cs:errorBar>
    <cs:lnRef idx="0"/>
    <cs:fillRef idx="0"/>
    <cs:effectRef idx="0"/>
    <cs:fontRef idx="minor">
      <a:schemeClr val="tx1"/>
    </cs:fontRef>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lumOff val="10000"/>
          </a:schemeClr>
        </a:solidFill>
        <a:round/>
      </a:ln>
    </cs:spPr>
  </cs:gridlineMinor>
  <cs:hiLoLine>
    <cs:lnRef idx="0"/>
    <cs:fillRef idx="0"/>
    <cs:effectRef idx="0"/>
    <cs:fontRef idx="minor">
      <a:schemeClr val="tx1"/>
    </cs:fontRef>
  </cs:hiLoLine>
  <cs:leaderLine>
    <cs:lnRef idx="0"/>
    <cs:fillRef idx="0"/>
    <cs:effectRef idx="0"/>
    <cs:fontRef idx="minor">
      <a:schemeClr val="tx1"/>
    </cs:fontRef>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tx1"/>
    </cs:fontRef>
    <cs:spPr>
      <a:solidFill>
        <a:schemeClr val="lt1"/>
      </a:solidFill>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bg1"/>
    </cs:fontRef>
    <cs:defRPr sz="900" kern="1200"/>
    <cs:bodyPr lIns="38100" tIns="19050" rIns="38100" bIns="19050">
      <a:spAutoFit/>
    </cs:bodyPr>
  </cs:dataLabel>
  <cs:dataLabelCallout>
    <cs:lnRef idx="0"/>
    <cs:fillRef idx="0"/>
    <cs:effectRef idx="0"/>
    <cs:fontRef idx="minor">
      <a:schemeClr val="tx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defRPr sz="900"/>
  </cs:dataTable>
  <cs:downBar>
    <cs:lnRef idx="0"/>
    <cs:fillRef idx="0"/>
    <cs:effectRef idx="0"/>
    <cs:fontRef idx="minor">
      <a:schemeClr val="tx1"/>
    </cs:fontRef>
    <cs:spPr>
      <a:solidFill>
        <a:schemeClr val="dk1"/>
      </a:solidFill>
    </cs:spPr>
  </cs:downBar>
  <cs:dropLine>
    <cs:lnRef idx="0"/>
    <cs:fillRef idx="0"/>
    <cs:effectRef idx="0"/>
    <cs:fontRef idx="minor">
      <a:schemeClr val="tx1"/>
    </cs:fontRef>
  </cs:dropLine>
  <cs:errorBar>
    <cs:lnRef idx="0"/>
    <cs:fillRef idx="0"/>
    <cs:effectRef idx="0"/>
    <cs:fontRef idx="minor">
      <a:schemeClr val="tx1"/>
    </cs:fontRef>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lumOff val="10000"/>
          </a:schemeClr>
        </a:solidFill>
        <a:round/>
      </a:ln>
    </cs:spPr>
  </cs:gridlineMinor>
  <cs:hiLoLine>
    <cs:lnRef idx="0"/>
    <cs:fillRef idx="0"/>
    <cs:effectRef idx="0"/>
    <cs:fontRef idx="minor">
      <a:schemeClr val="tx1"/>
    </cs:fontRef>
  </cs:hiLoLine>
  <cs:leaderLine>
    <cs:lnRef idx="0"/>
    <cs:fillRef idx="0"/>
    <cs:effectRef idx="0"/>
    <cs:fontRef idx="minor">
      <a:schemeClr val="tx1"/>
    </cs:fontRef>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tx1"/>
    </cs:fontRef>
    <cs:spPr>
      <a:solidFill>
        <a:schemeClr val="lt1"/>
      </a:solidFill>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bg1"/>
    </cs:fontRef>
    <cs:defRPr sz="900" kern="1200"/>
    <cs:bodyPr lIns="38100" tIns="19050" rIns="38100" bIns="19050">
      <a:spAutoFit/>
    </cs:bodyPr>
  </cs:dataLabel>
  <cs:dataLabelCallout>
    <cs:lnRef idx="0"/>
    <cs:fillRef idx="0"/>
    <cs:effectRef idx="0"/>
    <cs:fontRef idx="minor">
      <a:schemeClr val="tx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defRPr sz="900"/>
  </cs:dataTable>
  <cs:downBar>
    <cs:lnRef idx="0"/>
    <cs:fillRef idx="0"/>
    <cs:effectRef idx="0"/>
    <cs:fontRef idx="minor">
      <a:schemeClr val="tx1"/>
    </cs:fontRef>
    <cs:spPr>
      <a:solidFill>
        <a:schemeClr val="dk1"/>
      </a:solidFill>
    </cs:spPr>
  </cs:downBar>
  <cs:dropLine>
    <cs:lnRef idx="0"/>
    <cs:fillRef idx="0"/>
    <cs:effectRef idx="0"/>
    <cs:fontRef idx="minor">
      <a:schemeClr val="tx1"/>
    </cs:fontRef>
  </cs:dropLine>
  <cs:errorBar>
    <cs:lnRef idx="0"/>
    <cs:fillRef idx="0"/>
    <cs:effectRef idx="0"/>
    <cs:fontRef idx="minor">
      <a:schemeClr val="tx1"/>
    </cs:fontRef>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lumOff val="10000"/>
          </a:schemeClr>
        </a:solidFill>
        <a:round/>
      </a:ln>
    </cs:spPr>
  </cs:gridlineMinor>
  <cs:hiLoLine>
    <cs:lnRef idx="0"/>
    <cs:fillRef idx="0"/>
    <cs:effectRef idx="0"/>
    <cs:fontRef idx="minor">
      <a:schemeClr val="tx1"/>
    </cs:fontRef>
  </cs:hiLoLine>
  <cs:leaderLine>
    <cs:lnRef idx="0"/>
    <cs:fillRef idx="0"/>
    <cs:effectRef idx="0"/>
    <cs:fontRef idx="minor">
      <a:schemeClr val="tx1"/>
    </cs:fontRef>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tx1"/>
    </cs:fontRef>
    <cs:spPr>
      <a:solidFill>
        <a:schemeClr val="lt1"/>
      </a:solidFill>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bg1"/>
    </cs:fontRef>
    <cs:defRPr sz="900" kern="1200"/>
    <cs:bodyPr lIns="38100" tIns="19050" rIns="38100" bIns="19050">
      <a:spAutoFit/>
    </cs:bodyPr>
  </cs:dataLabel>
  <cs:dataLabelCallout>
    <cs:lnRef idx="0"/>
    <cs:fillRef idx="0"/>
    <cs:effectRef idx="0"/>
    <cs:fontRef idx="minor">
      <a:schemeClr val="tx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defRPr sz="900"/>
  </cs:dataTable>
  <cs:downBar>
    <cs:lnRef idx="0"/>
    <cs:fillRef idx="0"/>
    <cs:effectRef idx="0"/>
    <cs:fontRef idx="minor">
      <a:schemeClr val="tx1"/>
    </cs:fontRef>
    <cs:spPr>
      <a:solidFill>
        <a:schemeClr val="dk1"/>
      </a:solidFill>
    </cs:spPr>
  </cs:downBar>
  <cs:dropLine>
    <cs:lnRef idx="0"/>
    <cs:fillRef idx="0"/>
    <cs:effectRef idx="0"/>
    <cs:fontRef idx="minor">
      <a:schemeClr val="tx1"/>
    </cs:fontRef>
  </cs:dropLine>
  <cs:errorBar>
    <cs:lnRef idx="0"/>
    <cs:fillRef idx="0"/>
    <cs:effectRef idx="0"/>
    <cs:fontRef idx="minor">
      <a:schemeClr val="tx1"/>
    </cs:fontRef>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lumOff val="10000"/>
          </a:schemeClr>
        </a:solidFill>
        <a:round/>
      </a:ln>
    </cs:spPr>
  </cs:gridlineMinor>
  <cs:hiLoLine>
    <cs:lnRef idx="0"/>
    <cs:fillRef idx="0"/>
    <cs:effectRef idx="0"/>
    <cs:fontRef idx="minor">
      <a:schemeClr val="tx1"/>
    </cs:fontRef>
  </cs:hiLoLine>
  <cs:leaderLine>
    <cs:lnRef idx="0"/>
    <cs:fillRef idx="0"/>
    <cs:effectRef idx="0"/>
    <cs:fontRef idx="minor">
      <a:schemeClr val="tx1"/>
    </cs:fontRef>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tx1"/>
    </cs:fontRef>
    <cs:spPr>
      <a:solidFill>
        <a:schemeClr val="lt1"/>
      </a:solidFill>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9.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bg1"/>
    </cs:fontRef>
    <cs:defRPr sz="900" kern="1200"/>
    <cs:bodyPr lIns="38100" tIns="19050" rIns="38100" bIns="19050">
      <a:spAutoFit/>
    </cs:bodyPr>
  </cs:dataLabel>
  <cs:dataLabelCallout>
    <cs:lnRef idx="0"/>
    <cs:fillRef idx="0"/>
    <cs:effectRef idx="0"/>
    <cs:fontRef idx="minor">
      <a:schemeClr val="tx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defRPr sz="900"/>
  </cs:dataTable>
  <cs:downBar>
    <cs:lnRef idx="0"/>
    <cs:fillRef idx="0"/>
    <cs:effectRef idx="0"/>
    <cs:fontRef idx="minor">
      <a:schemeClr val="tx1"/>
    </cs:fontRef>
    <cs:spPr>
      <a:solidFill>
        <a:schemeClr val="dk1"/>
      </a:solidFill>
    </cs:spPr>
  </cs:downBar>
  <cs:dropLine>
    <cs:lnRef idx="0"/>
    <cs:fillRef idx="0"/>
    <cs:effectRef idx="0"/>
    <cs:fontRef idx="minor">
      <a:schemeClr val="tx1"/>
    </cs:fontRef>
  </cs:dropLine>
  <cs:errorBar>
    <cs:lnRef idx="0"/>
    <cs:fillRef idx="0"/>
    <cs:effectRef idx="0"/>
    <cs:fontRef idx="minor">
      <a:schemeClr val="tx1"/>
    </cs:fontRef>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lumOff val="10000"/>
          </a:schemeClr>
        </a:solidFill>
        <a:round/>
      </a:ln>
    </cs:spPr>
  </cs:gridlineMinor>
  <cs:hiLoLine>
    <cs:lnRef idx="0"/>
    <cs:fillRef idx="0"/>
    <cs:effectRef idx="0"/>
    <cs:fontRef idx="minor">
      <a:schemeClr val="tx1"/>
    </cs:fontRef>
  </cs:hiLoLine>
  <cs:leaderLine>
    <cs:lnRef idx="0"/>
    <cs:fillRef idx="0"/>
    <cs:effectRef idx="0"/>
    <cs:fontRef idx="minor">
      <a:schemeClr val="tx1"/>
    </cs:fontRef>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tx1"/>
    </cs:fontRef>
    <cs:spPr>
      <a:solidFill>
        <a:schemeClr val="lt1"/>
      </a:solidFill>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Biodiversity Assessment'!A1"/></Relationships>
</file>

<file path=xl/drawings/_rels/drawing2.xml.rels><?xml version="1.0" encoding="UTF-8" standalone="yes"?>
<Relationships xmlns="http://schemas.openxmlformats.org/package/2006/relationships"><Relationship Id="rId8" Type="http://schemas.openxmlformats.org/officeDocument/2006/relationships/hyperlink" Target="https://app.mapx.org/?project=MX-XNI-RMZ-KKL-FMS-DVH&amp;views=MX-S5QQI-IXX3I-FQ15T" TargetMode="External"/><Relationship Id="rId13" Type="http://schemas.openxmlformats.org/officeDocument/2006/relationships/hyperlink" Target="#Definitions!B63"/><Relationship Id="rId18" Type="http://schemas.microsoft.com/office/2014/relationships/chartEx" Target="../charts/chartEx5.xml"/><Relationship Id="rId3" Type="http://schemas.openxmlformats.org/officeDocument/2006/relationships/hyperlink" Target="https://app.mapx.org?project=MX-XNI-RMZ-KKL-FMS-DVH&amp;views=MX-Y3HWB-9IXHB-3AW3N" TargetMode="External"/><Relationship Id="rId7" Type="http://schemas.openxmlformats.org/officeDocument/2006/relationships/hyperlink" Target="https://app.mapx.org?project=MX-XNI-RMZ-KKL-FMS-DVH&amp;views=MX-S5QQI-IXX3I-FQ15T" TargetMode="External"/><Relationship Id="rId12" Type="http://schemas.openxmlformats.org/officeDocument/2006/relationships/hyperlink" Target="#Definitions!B41"/><Relationship Id="rId17" Type="http://schemas.microsoft.com/office/2014/relationships/chartEx" Target="../charts/chartEx4.xml"/><Relationship Id="rId2" Type="http://schemas.microsoft.com/office/2014/relationships/chartEx" Target="../charts/chartEx2.xml"/><Relationship Id="rId16" Type="http://schemas.microsoft.com/office/2014/relationships/chartEx" Target="../charts/chartEx3.xml"/><Relationship Id="rId20" Type="http://schemas.openxmlformats.org/officeDocument/2006/relationships/image" Target="../media/image2.png"/><Relationship Id="rId1" Type="http://schemas.microsoft.com/office/2014/relationships/chartEx" Target="../charts/chartEx1.xml"/><Relationship Id="rId6" Type="http://schemas.openxmlformats.org/officeDocument/2006/relationships/hyperlink" Target="http://www.iucnredlist.org/search/map" TargetMode="External"/><Relationship Id="rId11" Type="http://schemas.openxmlformats.org/officeDocument/2006/relationships/hyperlink" Target="#Definitions!B43"/><Relationship Id="rId5" Type="http://schemas.openxmlformats.org/officeDocument/2006/relationships/hyperlink" Target="https://www.iucnredlist.org/search/map" TargetMode="External"/><Relationship Id="rId15" Type="http://schemas.openxmlformats.org/officeDocument/2006/relationships/hyperlink" Target="#Definitions!B108"/><Relationship Id="rId10" Type="http://schemas.openxmlformats.org/officeDocument/2006/relationships/hyperlink" Target="http://www.griis.org/" TargetMode="External"/><Relationship Id="rId19" Type="http://schemas.microsoft.com/office/2014/relationships/chartEx" Target="../charts/chartEx6.xml"/><Relationship Id="rId4" Type="http://schemas.openxmlformats.org/officeDocument/2006/relationships/hyperlink" Target="https://app.mapx.org/?project=MX-XNI-RMZ-KKL-FMS-DVH&amp;views=MX-Y3HWB-9IXHB-3AW3N" TargetMode="External"/><Relationship Id="rId9" Type="http://schemas.openxmlformats.org/officeDocument/2006/relationships/hyperlink" Target="https://www.protectedplanet.net/" TargetMode="External"/><Relationship Id="rId14" Type="http://schemas.openxmlformats.org/officeDocument/2006/relationships/hyperlink" Target="#Definitions!B106"/></Relationships>
</file>

<file path=xl/drawings/_rels/drawing3.xml.rels><?xml version="1.0" encoding="UTF-8" standalone="yes"?>
<Relationships xmlns="http://schemas.openxmlformats.org/package/2006/relationships"><Relationship Id="rId2" Type="http://schemas.microsoft.com/office/2014/relationships/chartEx" Target="../charts/chartEx8.xml"/><Relationship Id="rId1" Type="http://schemas.microsoft.com/office/2014/relationships/chartEx" Target="../charts/chartEx7.xml"/></Relationships>
</file>

<file path=xl/drawings/_rels/drawing4.xml.rels><?xml version="1.0" encoding="UTF-8" standalone="yes"?>
<Relationships xmlns="http://schemas.openxmlformats.org/package/2006/relationships"><Relationship Id="rId1" Type="http://schemas.microsoft.com/office/2014/relationships/chartEx" Target="../charts/chartEx9.xml"/></Relationships>
</file>

<file path=xl/drawings/_rels/drawing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8" Type="http://schemas.openxmlformats.org/officeDocument/2006/relationships/chart" Target="../charts/chart9.xml"/><Relationship Id="rId3" Type="http://schemas.openxmlformats.org/officeDocument/2006/relationships/chart" Target="../charts/chart4.xml"/><Relationship Id="rId7" Type="http://schemas.openxmlformats.org/officeDocument/2006/relationships/chart" Target="../charts/chart8.xml"/><Relationship Id="rId2" Type="http://schemas.microsoft.com/office/2014/relationships/chartEx" Target="../charts/chartEx11.xml"/><Relationship Id="rId1" Type="http://schemas.microsoft.com/office/2014/relationships/chartEx" Target="../charts/chartEx10.xml"/><Relationship Id="rId6" Type="http://schemas.openxmlformats.org/officeDocument/2006/relationships/chart" Target="../charts/chart7.xml"/><Relationship Id="rId5" Type="http://schemas.openxmlformats.org/officeDocument/2006/relationships/chart" Target="../charts/chart6.xml"/><Relationship Id="rId4" Type="http://schemas.openxmlformats.org/officeDocument/2006/relationships/chart" Target="../charts/chart5.xml"/><Relationship Id="rId9"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5.jpeg"/><Relationship Id="rId1" Type="http://schemas.openxmlformats.org/officeDocument/2006/relationships/image" Target="../media/image4.jpg"/><Relationship Id="rId5" Type="http://schemas.openxmlformats.org/officeDocument/2006/relationships/hyperlink" Target="https://app.mapx.org?project=MX-XNI-RMZ-KKL-FMS-DVH&amp;views=MX-S5QQI-IXX3I-FQ15T" TargetMode="External"/><Relationship Id="rId4" Type="http://schemas.openxmlformats.org/officeDocument/2006/relationships/hyperlink" Target="#Start!A1"/></Relationships>
</file>

<file path=xl/drawings/_rels/drawing9.xml.rels><?xml version="1.0" encoding="UTF-8" standalone="yes"?>
<Relationships xmlns="http://schemas.openxmlformats.org/package/2006/relationships"><Relationship Id="rId3" Type="http://schemas.openxmlformats.org/officeDocument/2006/relationships/hyperlink" Target="#'Biodiversity Assessment'!A1"/><Relationship Id="rId2" Type="http://schemas.openxmlformats.org/officeDocument/2006/relationships/hyperlink" Target="https://app.mapx.org?project=MX-XNI-RMZ-KKL-FMS-DVH&amp;views=MX-S5QQI-IXX3I-FQ15T" TargetMode="External"/><Relationship Id="rId1" Type="http://schemas.openxmlformats.org/officeDocument/2006/relationships/hyperlink" Target="#'Biodiversity Assessment'!B43"/><Relationship Id="rId6" Type="http://schemas.openxmlformats.org/officeDocument/2006/relationships/image" Target="../media/image2.png"/><Relationship Id="rId5" Type="http://schemas.openxmlformats.org/officeDocument/2006/relationships/hyperlink" Target="#'3. MRV Biodiversity'!A91"/><Relationship Id="rId4" Type="http://schemas.openxmlformats.org/officeDocument/2006/relationships/hyperlink" Target="#Help!B43"/></Relationships>
</file>

<file path=xl/drawings/drawing1.xml><?xml version="1.0" encoding="utf-8"?>
<xdr:wsDr xmlns:xdr="http://schemas.openxmlformats.org/drawingml/2006/spreadsheetDrawing" xmlns:a="http://schemas.openxmlformats.org/drawingml/2006/main">
  <xdr:twoCellAnchor>
    <xdr:from>
      <xdr:col>7</xdr:col>
      <xdr:colOff>162202</xdr:colOff>
      <xdr:row>3</xdr:row>
      <xdr:rowOff>109567</xdr:rowOff>
    </xdr:from>
    <xdr:to>
      <xdr:col>18</xdr:col>
      <xdr:colOff>247577</xdr:colOff>
      <xdr:row>42</xdr:row>
      <xdr:rowOff>98486</xdr:rowOff>
    </xdr:to>
    <xdr:pic>
      <xdr:nvPicPr>
        <xdr:cNvPr id="8" name="Picture 7">
          <a:hlinkClick xmlns:r="http://schemas.openxmlformats.org/officeDocument/2006/relationships" r:id="rId1"/>
          <a:extLst>
            <a:ext uri="{FF2B5EF4-FFF2-40B4-BE49-F238E27FC236}">
              <a16:creationId xmlns:a16="http://schemas.microsoft.com/office/drawing/2014/main" id="{00000000-0008-0000-0000-000008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7875" t="21903" r="27119" b="16371"/>
        <a:stretch/>
      </xdr:blipFill>
      <xdr:spPr>
        <a:xfrm>
          <a:off x="4416702" y="681067"/>
          <a:ext cx="7170161" cy="6574776"/>
        </a:xfrm>
        <a:prstGeom prst="rect">
          <a:avLst/>
        </a:prstGeom>
      </xdr:spPr>
    </xdr:pic>
    <xdr:clientData/>
  </xdr:twoCellAnchor>
  <xdr:twoCellAnchor>
    <xdr:from>
      <xdr:col>17</xdr:col>
      <xdr:colOff>609105</xdr:colOff>
      <xdr:row>12</xdr:row>
      <xdr:rowOff>85112</xdr:rowOff>
    </xdr:from>
    <xdr:to>
      <xdr:col>25</xdr:col>
      <xdr:colOff>88940</xdr:colOff>
      <xdr:row>31</xdr:row>
      <xdr:rowOff>18144</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1304319" y="2244112"/>
          <a:ext cx="4632407" cy="30717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200" baseline="0">
              <a:latin typeface="Roboto" panose="02000000000000000000" pitchFamily="2" charset="0"/>
              <a:ea typeface="Roboto" panose="02000000000000000000" pitchFamily="2" charset="0"/>
            </a:rPr>
            <a:t>The Biodiversity Integrated Assessment and Computation Tool (B-INTACT) uniquely seeks to provide a thorough biodiversity assessment of project-level activities in the AFOLU sector, taking on both a quantitative and a qualitative approach. The quantitative approach considers a set of relationships for anthropogenic impacts on biodiversity from land use changes, habitat fragmentation, infrastructure and human encroachment. Biodiversity responses are quantified in the mean species abundance (MSA) metric, which expresses the mean abundance of original species in disturbed conditions relative to their abundance in an undisturbed habitat. Non-quantifiable impacts to biodiversity from project activities are assessed with a qualitative appraisal addressing biodiversity sensitivity and impact, biodiversity management activities and agrobiodiversity practices. Finally, the tool provides a number of analytical results and outputs, including a set of policy indicators, among others. </a:t>
          </a:r>
        </a:p>
        <a:p>
          <a:pPr algn="l"/>
          <a:endParaRPr lang="en-US" sz="1200" baseline="0">
            <a:latin typeface="Roboto" panose="02000000000000000000" pitchFamily="2" charset="0"/>
            <a:ea typeface="Roboto" panose="02000000000000000000" pitchFamily="2" charset="0"/>
          </a:endParaRPr>
        </a:p>
        <a:p>
          <a:pPr algn="l"/>
          <a:r>
            <a:rPr lang="en-US" sz="1200" baseline="0">
              <a:latin typeface="Roboto" panose="02000000000000000000" pitchFamily="2" charset="0"/>
              <a:ea typeface="Roboto" panose="02000000000000000000" pitchFamily="2" charset="0"/>
            </a:rPr>
            <a:t>B-INTACT was developed by FAO with the support of the Agence Frqnçqise de Développement (AFD)</a:t>
          </a:r>
        </a:p>
      </xdr:txBody>
    </xdr:sp>
    <xdr:clientData/>
  </xdr:twoCellAnchor>
  <xdr:twoCellAnchor>
    <xdr:from>
      <xdr:col>17</xdr:col>
      <xdr:colOff>626369</xdr:colOff>
      <xdr:row>9</xdr:row>
      <xdr:rowOff>160707</xdr:rowOff>
    </xdr:from>
    <xdr:to>
      <xdr:col>25</xdr:col>
      <xdr:colOff>106203</xdr:colOff>
      <xdr:row>12</xdr:row>
      <xdr:rowOff>115410</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11321583" y="1739136"/>
          <a:ext cx="4632406" cy="5352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600" b="1" u="sng">
              <a:latin typeface="Century Gothic" panose="020B0502020202020204" pitchFamily="34" charset="0"/>
            </a:rPr>
            <a:t>About B-INTACT</a:t>
          </a:r>
        </a:p>
      </xdr:txBody>
    </xdr:sp>
    <xdr:clientData/>
  </xdr:twoCellAnchor>
  <xdr:twoCellAnchor>
    <xdr:from>
      <xdr:col>3</xdr:col>
      <xdr:colOff>337862</xdr:colOff>
      <xdr:row>34</xdr:row>
      <xdr:rowOff>150789</xdr:rowOff>
    </xdr:from>
    <xdr:to>
      <xdr:col>7</xdr:col>
      <xdr:colOff>336587</xdr:colOff>
      <xdr:row>38</xdr:row>
      <xdr:rowOff>78885</xdr:rowOff>
    </xdr:to>
    <xdr:sp macro="" textlink="">
      <xdr:nvSpPr>
        <xdr:cNvPr id="17" name="TextBox 16">
          <a:extLst>
            <a:ext uri="{FF2B5EF4-FFF2-40B4-BE49-F238E27FC236}">
              <a16:creationId xmlns:a16="http://schemas.microsoft.com/office/drawing/2014/main" id="{00000000-0008-0000-0000-000011000000}"/>
            </a:ext>
          </a:extLst>
        </xdr:cNvPr>
        <xdr:cNvSpPr txBox="1"/>
      </xdr:nvSpPr>
      <xdr:spPr>
        <a:xfrm>
          <a:off x="1852791" y="6001860"/>
          <a:ext cx="2738296" cy="5812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u="none">
              <a:solidFill>
                <a:srgbClr val="CFCFCF"/>
              </a:solidFill>
              <a:latin typeface="Roboto" panose="02000000000000000000" pitchFamily="2" charset="0"/>
              <a:ea typeface="Roboto" panose="02000000000000000000" pitchFamily="2" charset="0"/>
            </a:rPr>
            <a:t>Click on the globe for</a:t>
          </a:r>
          <a:r>
            <a:rPr lang="en-US" sz="1400" b="1" u="none" baseline="0">
              <a:solidFill>
                <a:srgbClr val="CFCFCF"/>
              </a:solidFill>
              <a:latin typeface="Roboto" panose="02000000000000000000" pitchFamily="2" charset="0"/>
              <a:ea typeface="Roboto" panose="02000000000000000000" pitchFamily="2" charset="0"/>
            </a:rPr>
            <a:t> the </a:t>
          </a:r>
          <a:r>
            <a:rPr lang="en-US" sz="1400" b="1" u="none">
              <a:solidFill>
                <a:srgbClr val="CFCFCF"/>
              </a:solidFill>
              <a:latin typeface="Roboto" panose="02000000000000000000" pitchFamily="2" charset="0"/>
              <a:ea typeface="Roboto" panose="02000000000000000000" pitchFamily="2" charset="0"/>
            </a:rPr>
            <a:t> biodiversity assessment</a:t>
          </a:r>
          <a:endParaRPr lang="en-US" sz="1800" b="1" u="none">
            <a:solidFill>
              <a:srgbClr val="CFCFCF"/>
            </a:solidFill>
            <a:latin typeface="Roboto" panose="02000000000000000000" pitchFamily="2" charset="0"/>
            <a:ea typeface="Roboto" panose="02000000000000000000" pitchFamily="2" charset="0"/>
          </a:endParaRPr>
        </a:p>
      </xdr:txBody>
    </xdr:sp>
    <xdr:clientData/>
  </xdr:twoCellAnchor>
  <xdr:twoCellAnchor>
    <xdr:from>
      <xdr:col>0</xdr:col>
      <xdr:colOff>114300</xdr:colOff>
      <xdr:row>0</xdr:row>
      <xdr:rowOff>50800</xdr:rowOff>
    </xdr:from>
    <xdr:to>
      <xdr:col>18</xdr:col>
      <xdr:colOff>602680</xdr:colOff>
      <xdr:row>3</xdr:row>
      <xdr:rowOff>82109</xdr:rowOff>
    </xdr:to>
    <xdr:grpSp>
      <xdr:nvGrpSpPr>
        <xdr:cNvPr id="29" name="Group 28">
          <a:extLst>
            <a:ext uri="{FF2B5EF4-FFF2-40B4-BE49-F238E27FC236}">
              <a16:creationId xmlns:a16="http://schemas.microsoft.com/office/drawing/2014/main" id="{D9290CDD-6AAF-4D60-A7BA-77CC3E789548}"/>
            </a:ext>
          </a:extLst>
        </xdr:cNvPr>
        <xdr:cNvGrpSpPr/>
      </xdr:nvGrpSpPr>
      <xdr:grpSpPr>
        <a:xfrm>
          <a:off x="114300" y="50800"/>
          <a:ext cx="11827666" cy="602809"/>
          <a:chOff x="110558" y="59439"/>
          <a:chExt cx="12037076" cy="593063"/>
        </a:xfrm>
      </xdr:grpSpPr>
      <xdr:pic>
        <xdr:nvPicPr>
          <xdr:cNvPr id="30" name="Picture 29">
            <a:extLst>
              <a:ext uri="{FF2B5EF4-FFF2-40B4-BE49-F238E27FC236}">
                <a16:creationId xmlns:a16="http://schemas.microsoft.com/office/drawing/2014/main" id="{52766EAD-297A-4092-A0D4-23F19716255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0558" y="97368"/>
            <a:ext cx="2405019" cy="507844"/>
          </a:xfrm>
          <a:prstGeom prst="rect">
            <a:avLst/>
          </a:prstGeom>
        </xdr:spPr>
      </xdr:pic>
      <xdr:grpSp>
        <xdr:nvGrpSpPr>
          <xdr:cNvPr id="31" name="Group 30">
            <a:extLst>
              <a:ext uri="{FF2B5EF4-FFF2-40B4-BE49-F238E27FC236}">
                <a16:creationId xmlns:a16="http://schemas.microsoft.com/office/drawing/2014/main" id="{4738D88E-39DC-4C21-9EB6-9BE17FC89572}"/>
              </a:ext>
            </a:extLst>
          </xdr:cNvPr>
          <xdr:cNvGrpSpPr/>
        </xdr:nvGrpSpPr>
        <xdr:grpSpPr>
          <a:xfrm>
            <a:off x="2864782" y="59439"/>
            <a:ext cx="9282852" cy="593063"/>
            <a:chOff x="2864782" y="59439"/>
            <a:chExt cx="9282852" cy="659235"/>
          </a:xfrm>
        </xdr:grpSpPr>
        <xdr:sp macro="" textlink="">
          <xdr:nvSpPr>
            <xdr:cNvPr id="32" name="TextBox 31">
              <a:extLst>
                <a:ext uri="{FF2B5EF4-FFF2-40B4-BE49-F238E27FC236}">
                  <a16:creationId xmlns:a16="http://schemas.microsoft.com/office/drawing/2014/main" id="{6B93731C-2C4F-4E1D-A799-F3925CA6E03C}"/>
                </a:ext>
              </a:extLst>
            </xdr:cNvPr>
            <xdr:cNvSpPr txBox="1"/>
          </xdr:nvSpPr>
          <xdr:spPr>
            <a:xfrm>
              <a:off x="2864782" y="59439"/>
              <a:ext cx="9268850" cy="5528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b="1">
                  <a:solidFill>
                    <a:schemeClr val="bg1"/>
                  </a:solidFill>
                  <a:latin typeface="Roboto" panose="02000000000000000000" pitchFamily="2" charset="0"/>
                  <a:ea typeface="Roboto" panose="02000000000000000000" pitchFamily="2" charset="0"/>
                </a:rPr>
                <a:t>B-INTACT</a:t>
              </a:r>
            </a:p>
          </xdr:txBody>
        </xdr:sp>
        <xdr:sp macro="" textlink="">
          <xdr:nvSpPr>
            <xdr:cNvPr id="33" name="TextBox 32">
              <a:extLst>
                <a:ext uri="{FF2B5EF4-FFF2-40B4-BE49-F238E27FC236}">
                  <a16:creationId xmlns:a16="http://schemas.microsoft.com/office/drawing/2014/main" id="{56FB7F2A-93CA-45A7-B596-17F57E05232D}"/>
                </a:ext>
              </a:extLst>
            </xdr:cNvPr>
            <xdr:cNvSpPr txBox="1"/>
          </xdr:nvSpPr>
          <xdr:spPr>
            <a:xfrm>
              <a:off x="2878784" y="401346"/>
              <a:ext cx="9268850" cy="3173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0">
                  <a:solidFill>
                    <a:schemeClr val="bg1"/>
                  </a:solidFill>
                  <a:latin typeface="Roboto light" panose="02000000000000000000" pitchFamily="2" charset="0"/>
                  <a:ea typeface="Roboto light" panose="02000000000000000000" pitchFamily="2" charset="0"/>
                </a:rPr>
                <a:t>Biodiversity Integrated</a:t>
              </a:r>
              <a:r>
                <a:rPr lang="en-US" sz="1400" b="0" baseline="0">
                  <a:solidFill>
                    <a:schemeClr val="bg1"/>
                  </a:solidFill>
                  <a:latin typeface="Roboto light" panose="02000000000000000000" pitchFamily="2" charset="0"/>
                  <a:ea typeface="Roboto light" panose="02000000000000000000" pitchFamily="2" charset="0"/>
                </a:rPr>
                <a:t> Assessment and Computation Tool</a:t>
              </a:r>
              <a:endParaRPr lang="en-US" sz="1400" b="0">
                <a:solidFill>
                  <a:schemeClr val="bg1"/>
                </a:solidFill>
                <a:latin typeface="Roboto light" panose="02000000000000000000" pitchFamily="2" charset="0"/>
                <a:ea typeface="Roboto light" panose="02000000000000000000" pitchFamily="2" charset="0"/>
              </a:endParaRPr>
            </a:p>
          </xdr:txBody>
        </xdr:sp>
      </xdr:grpSp>
    </xdr:grpSp>
    <xdr:clientData/>
  </xdr:twoCellAnchor>
  <xdr:twoCellAnchor>
    <xdr:from>
      <xdr:col>1</xdr:col>
      <xdr:colOff>384646</xdr:colOff>
      <xdr:row>10</xdr:row>
      <xdr:rowOff>51585</xdr:rowOff>
    </xdr:from>
    <xdr:to>
      <xdr:col>1</xdr:col>
      <xdr:colOff>384646</xdr:colOff>
      <xdr:row>36</xdr:row>
      <xdr:rowOff>88939</xdr:rowOff>
    </xdr:to>
    <xdr:cxnSp macro="">
      <xdr:nvCxnSpPr>
        <xdr:cNvPr id="36" name="Straight Connector 35">
          <a:extLst>
            <a:ext uri="{FF2B5EF4-FFF2-40B4-BE49-F238E27FC236}">
              <a16:creationId xmlns:a16="http://schemas.microsoft.com/office/drawing/2014/main" id="{ACE64840-13C0-45D8-AAFB-4D8ACF13D912}"/>
            </a:ext>
          </a:extLst>
        </xdr:cNvPr>
        <xdr:cNvCxnSpPr/>
      </xdr:nvCxnSpPr>
      <xdr:spPr>
        <a:xfrm>
          <a:off x="1027206" y="1760037"/>
          <a:ext cx="0" cy="4142176"/>
        </a:xfrm>
        <a:prstGeom prst="line">
          <a:avLst/>
        </a:prstGeom>
        <a:ln>
          <a:solidFill>
            <a:srgbClr val="CFCFCF"/>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392206</xdr:colOff>
      <xdr:row>17</xdr:row>
      <xdr:rowOff>114850</xdr:rowOff>
    </xdr:from>
    <xdr:to>
      <xdr:col>2</xdr:col>
      <xdr:colOff>84045</xdr:colOff>
      <xdr:row>17</xdr:row>
      <xdr:rowOff>114850</xdr:rowOff>
    </xdr:to>
    <xdr:cxnSp macro="">
      <xdr:nvCxnSpPr>
        <xdr:cNvPr id="38" name="Straight Arrow Connector 37">
          <a:extLst>
            <a:ext uri="{FF2B5EF4-FFF2-40B4-BE49-F238E27FC236}">
              <a16:creationId xmlns:a16="http://schemas.microsoft.com/office/drawing/2014/main" id="{EDBF9E00-BADF-4230-9F6E-D4D2DED6ECC6}"/>
            </a:ext>
          </a:extLst>
        </xdr:cNvPr>
        <xdr:cNvCxnSpPr/>
      </xdr:nvCxnSpPr>
      <xdr:spPr>
        <a:xfrm>
          <a:off x="1035453" y="2390954"/>
          <a:ext cx="335086" cy="0"/>
        </a:xfrm>
        <a:prstGeom prst="straightConnector1">
          <a:avLst/>
        </a:prstGeom>
        <a:ln>
          <a:solidFill>
            <a:srgbClr val="CFCFCF"/>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597202</xdr:colOff>
      <xdr:row>9</xdr:row>
      <xdr:rowOff>30240</xdr:rowOff>
    </xdr:from>
    <xdr:to>
      <xdr:col>6</xdr:col>
      <xdr:colOff>446012</xdr:colOff>
      <xdr:row>12</xdr:row>
      <xdr:rowOff>15120</xdr:rowOff>
    </xdr:to>
    <xdr:sp macro="" textlink="">
      <xdr:nvSpPr>
        <xdr:cNvPr id="39" name="TextBox 38">
          <a:extLst>
            <a:ext uri="{FF2B5EF4-FFF2-40B4-BE49-F238E27FC236}">
              <a16:creationId xmlns:a16="http://schemas.microsoft.com/office/drawing/2014/main" id="{6711994C-D41D-465A-9C5E-C57DBF4AA969}"/>
            </a:ext>
          </a:extLst>
        </xdr:cNvPr>
        <xdr:cNvSpPr txBox="1"/>
      </xdr:nvSpPr>
      <xdr:spPr>
        <a:xfrm>
          <a:off x="1239762" y="1579942"/>
          <a:ext cx="2804583" cy="4006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000">
              <a:solidFill>
                <a:srgbClr val="CFCFCF"/>
              </a:solidFill>
              <a:latin typeface="Roboto bold" panose="02000000000000000000" pitchFamily="2" charset="0"/>
              <a:ea typeface="Roboto bold" panose="02000000000000000000" pitchFamily="2" charset="0"/>
            </a:rPr>
            <a:t>Describe your project</a:t>
          </a:r>
        </a:p>
      </xdr:txBody>
    </xdr:sp>
    <xdr:clientData/>
  </xdr:twoCellAnchor>
  <xdr:twoCellAnchor>
    <xdr:from>
      <xdr:col>1</xdr:col>
      <xdr:colOff>397617</xdr:colOff>
      <xdr:row>21</xdr:row>
      <xdr:rowOff>136494</xdr:rowOff>
    </xdr:from>
    <xdr:to>
      <xdr:col>2</xdr:col>
      <xdr:colOff>89456</xdr:colOff>
      <xdr:row>21</xdr:row>
      <xdr:rowOff>136494</xdr:rowOff>
    </xdr:to>
    <xdr:cxnSp macro="">
      <xdr:nvCxnSpPr>
        <xdr:cNvPr id="41" name="Straight Arrow Connector 40">
          <a:extLst>
            <a:ext uri="{FF2B5EF4-FFF2-40B4-BE49-F238E27FC236}">
              <a16:creationId xmlns:a16="http://schemas.microsoft.com/office/drawing/2014/main" id="{8E21A9E5-C96A-4028-9762-FDE5AAB588EE}"/>
            </a:ext>
          </a:extLst>
        </xdr:cNvPr>
        <xdr:cNvCxnSpPr/>
      </xdr:nvCxnSpPr>
      <xdr:spPr>
        <a:xfrm>
          <a:off x="1038552" y="3139391"/>
          <a:ext cx="332773" cy="0"/>
        </a:xfrm>
        <a:prstGeom prst="straightConnector1">
          <a:avLst/>
        </a:prstGeom>
        <a:ln>
          <a:solidFill>
            <a:srgbClr val="CFCFCF"/>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389784</xdr:colOff>
      <xdr:row>25</xdr:row>
      <xdr:rowOff>128660</xdr:rowOff>
    </xdr:from>
    <xdr:to>
      <xdr:col>2</xdr:col>
      <xdr:colOff>81623</xdr:colOff>
      <xdr:row>25</xdr:row>
      <xdr:rowOff>128660</xdr:rowOff>
    </xdr:to>
    <xdr:cxnSp macro="">
      <xdr:nvCxnSpPr>
        <xdr:cNvPr id="42" name="Straight Arrow Connector 41">
          <a:extLst>
            <a:ext uri="{FF2B5EF4-FFF2-40B4-BE49-F238E27FC236}">
              <a16:creationId xmlns:a16="http://schemas.microsoft.com/office/drawing/2014/main" id="{1A9C5DC1-BD44-426A-8C58-11C46907E509}"/>
            </a:ext>
          </a:extLst>
        </xdr:cNvPr>
        <xdr:cNvCxnSpPr/>
      </xdr:nvCxnSpPr>
      <xdr:spPr>
        <a:xfrm>
          <a:off x="1030719" y="3796230"/>
          <a:ext cx="332773" cy="0"/>
        </a:xfrm>
        <a:prstGeom prst="straightConnector1">
          <a:avLst/>
        </a:prstGeom>
        <a:ln>
          <a:solidFill>
            <a:srgbClr val="CFCFCF"/>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391554</xdr:colOff>
      <xdr:row>29</xdr:row>
      <xdr:rowOff>124273</xdr:rowOff>
    </xdr:from>
    <xdr:to>
      <xdr:col>2</xdr:col>
      <xdr:colOff>83393</xdr:colOff>
      <xdr:row>29</xdr:row>
      <xdr:rowOff>124273</xdr:rowOff>
    </xdr:to>
    <xdr:cxnSp macro="">
      <xdr:nvCxnSpPr>
        <xdr:cNvPr id="43" name="Straight Arrow Connector 42">
          <a:extLst>
            <a:ext uri="{FF2B5EF4-FFF2-40B4-BE49-F238E27FC236}">
              <a16:creationId xmlns:a16="http://schemas.microsoft.com/office/drawing/2014/main" id="{DEA677D1-B8E7-4EF9-830C-DDE4C237388C}"/>
            </a:ext>
          </a:extLst>
        </xdr:cNvPr>
        <xdr:cNvCxnSpPr/>
      </xdr:nvCxnSpPr>
      <xdr:spPr>
        <a:xfrm>
          <a:off x="1033238" y="5010431"/>
          <a:ext cx="333523" cy="0"/>
        </a:xfrm>
        <a:prstGeom prst="straightConnector1">
          <a:avLst/>
        </a:prstGeom>
        <a:ln>
          <a:solidFill>
            <a:srgbClr val="CFCFCF"/>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391250</xdr:colOff>
      <xdr:row>13</xdr:row>
      <xdr:rowOff>121266</xdr:rowOff>
    </xdr:from>
    <xdr:to>
      <xdr:col>2</xdr:col>
      <xdr:colOff>83089</xdr:colOff>
      <xdr:row>13</xdr:row>
      <xdr:rowOff>121266</xdr:rowOff>
    </xdr:to>
    <xdr:cxnSp macro="">
      <xdr:nvCxnSpPr>
        <xdr:cNvPr id="44" name="Straight Arrow Connector 43">
          <a:extLst>
            <a:ext uri="{FF2B5EF4-FFF2-40B4-BE49-F238E27FC236}">
              <a16:creationId xmlns:a16="http://schemas.microsoft.com/office/drawing/2014/main" id="{E1D6924C-C17B-4C82-A640-C53A71BDF895}"/>
            </a:ext>
          </a:extLst>
        </xdr:cNvPr>
        <xdr:cNvCxnSpPr/>
      </xdr:nvCxnSpPr>
      <xdr:spPr>
        <a:xfrm>
          <a:off x="1032934" y="2434003"/>
          <a:ext cx="333523" cy="0"/>
        </a:xfrm>
        <a:prstGeom prst="straightConnector1">
          <a:avLst/>
        </a:prstGeom>
        <a:ln>
          <a:solidFill>
            <a:srgbClr val="CFCFCF"/>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390217</xdr:colOff>
      <xdr:row>36</xdr:row>
      <xdr:rowOff>89515</xdr:rowOff>
    </xdr:from>
    <xdr:to>
      <xdr:col>3</xdr:col>
      <xdr:colOff>477957</xdr:colOff>
      <xdr:row>36</xdr:row>
      <xdr:rowOff>89515</xdr:rowOff>
    </xdr:to>
    <xdr:cxnSp macro="">
      <xdr:nvCxnSpPr>
        <xdr:cNvPr id="45" name="Straight Arrow Connector 44">
          <a:extLst>
            <a:ext uri="{FF2B5EF4-FFF2-40B4-BE49-F238E27FC236}">
              <a16:creationId xmlns:a16="http://schemas.microsoft.com/office/drawing/2014/main" id="{FFEB6DE6-C699-4F7B-B3B8-C455F3F283D7}"/>
            </a:ext>
          </a:extLst>
        </xdr:cNvPr>
        <xdr:cNvCxnSpPr/>
      </xdr:nvCxnSpPr>
      <xdr:spPr>
        <a:xfrm>
          <a:off x="1032045" y="6173225"/>
          <a:ext cx="954890" cy="0"/>
        </a:xfrm>
        <a:prstGeom prst="straightConnector1">
          <a:avLst/>
        </a:prstGeom>
        <a:ln>
          <a:solidFill>
            <a:srgbClr val="CFCFCF"/>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259237</xdr:colOff>
      <xdr:row>9</xdr:row>
      <xdr:rowOff>107324</xdr:rowOff>
    </xdr:from>
    <xdr:to>
      <xdr:col>1</xdr:col>
      <xdr:colOff>511237</xdr:colOff>
      <xdr:row>10</xdr:row>
      <xdr:rowOff>196039</xdr:rowOff>
    </xdr:to>
    <xdr:sp macro="" textlink="">
      <xdr:nvSpPr>
        <xdr:cNvPr id="48" name="Oval 47">
          <a:extLst>
            <a:ext uri="{FF2B5EF4-FFF2-40B4-BE49-F238E27FC236}">
              <a16:creationId xmlns:a16="http://schemas.microsoft.com/office/drawing/2014/main" id="{52597556-17DA-413A-8FC2-EDE058546305}"/>
            </a:ext>
          </a:extLst>
        </xdr:cNvPr>
        <xdr:cNvSpPr>
          <a:spLocks noChangeAspect="1"/>
        </xdr:cNvSpPr>
      </xdr:nvSpPr>
      <xdr:spPr>
        <a:xfrm>
          <a:off x="903308" y="1685753"/>
          <a:ext cx="252000" cy="252000"/>
        </a:xfrm>
        <a:prstGeom prst="ellipse">
          <a:avLst/>
        </a:prstGeom>
        <a:solidFill>
          <a:srgbClr val="CFCFC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621415</xdr:colOff>
      <xdr:row>13</xdr:row>
      <xdr:rowOff>57097</xdr:rowOff>
    </xdr:from>
    <xdr:to>
      <xdr:col>2</xdr:col>
      <xdr:colOff>123276</xdr:colOff>
      <xdr:row>13</xdr:row>
      <xdr:rowOff>201097</xdr:rowOff>
    </xdr:to>
    <xdr:sp macro="" textlink="">
      <xdr:nvSpPr>
        <xdr:cNvPr id="49" name="Oval 48">
          <a:extLst>
            <a:ext uri="{FF2B5EF4-FFF2-40B4-BE49-F238E27FC236}">
              <a16:creationId xmlns:a16="http://schemas.microsoft.com/office/drawing/2014/main" id="{E1F37D30-C11D-4C23-9BCB-38D35C037183}"/>
            </a:ext>
          </a:extLst>
        </xdr:cNvPr>
        <xdr:cNvSpPr>
          <a:spLocks noChangeAspect="1"/>
        </xdr:cNvSpPr>
      </xdr:nvSpPr>
      <xdr:spPr>
        <a:xfrm>
          <a:off x="1265486" y="2379383"/>
          <a:ext cx="145933" cy="144000"/>
        </a:xfrm>
        <a:prstGeom prst="ellipse">
          <a:avLst/>
        </a:prstGeom>
        <a:solidFill>
          <a:srgbClr val="CFCFC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621415</xdr:colOff>
      <xdr:row>17</xdr:row>
      <xdr:rowOff>52455</xdr:rowOff>
    </xdr:from>
    <xdr:to>
      <xdr:col>2</xdr:col>
      <xdr:colOff>123276</xdr:colOff>
      <xdr:row>17</xdr:row>
      <xdr:rowOff>196455</xdr:rowOff>
    </xdr:to>
    <xdr:sp macro="" textlink="">
      <xdr:nvSpPr>
        <xdr:cNvPr id="50" name="Oval 49">
          <a:extLst>
            <a:ext uri="{FF2B5EF4-FFF2-40B4-BE49-F238E27FC236}">
              <a16:creationId xmlns:a16="http://schemas.microsoft.com/office/drawing/2014/main" id="{FDA4A68F-015A-4847-AE82-8721ACD5F8D4}"/>
            </a:ext>
          </a:extLst>
        </xdr:cNvPr>
        <xdr:cNvSpPr>
          <a:spLocks noChangeAspect="1"/>
        </xdr:cNvSpPr>
      </xdr:nvSpPr>
      <xdr:spPr>
        <a:xfrm>
          <a:off x="1265486" y="3055098"/>
          <a:ext cx="145933" cy="144000"/>
        </a:xfrm>
        <a:prstGeom prst="ellipse">
          <a:avLst/>
        </a:prstGeom>
        <a:solidFill>
          <a:srgbClr val="CFCFC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621415</xdr:colOff>
      <xdr:row>21</xdr:row>
      <xdr:rowOff>61467</xdr:rowOff>
    </xdr:from>
    <xdr:to>
      <xdr:col>2</xdr:col>
      <xdr:colOff>123276</xdr:colOff>
      <xdr:row>21</xdr:row>
      <xdr:rowOff>205467</xdr:rowOff>
    </xdr:to>
    <xdr:sp macro="" textlink="">
      <xdr:nvSpPr>
        <xdr:cNvPr id="51" name="Oval 50">
          <a:extLst>
            <a:ext uri="{FF2B5EF4-FFF2-40B4-BE49-F238E27FC236}">
              <a16:creationId xmlns:a16="http://schemas.microsoft.com/office/drawing/2014/main" id="{A575D953-1D7B-47E2-8D21-3FC09F2DEB9F}"/>
            </a:ext>
          </a:extLst>
        </xdr:cNvPr>
        <xdr:cNvSpPr>
          <a:spLocks noChangeAspect="1"/>
        </xdr:cNvSpPr>
      </xdr:nvSpPr>
      <xdr:spPr>
        <a:xfrm>
          <a:off x="1265486" y="3744467"/>
          <a:ext cx="145933" cy="144000"/>
        </a:xfrm>
        <a:prstGeom prst="ellipse">
          <a:avLst/>
        </a:prstGeom>
        <a:solidFill>
          <a:srgbClr val="CFCFC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621415</xdr:colOff>
      <xdr:row>25</xdr:row>
      <xdr:rowOff>56824</xdr:rowOff>
    </xdr:from>
    <xdr:to>
      <xdr:col>2</xdr:col>
      <xdr:colOff>123276</xdr:colOff>
      <xdr:row>25</xdr:row>
      <xdr:rowOff>200824</xdr:rowOff>
    </xdr:to>
    <xdr:sp macro="" textlink="">
      <xdr:nvSpPr>
        <xdr:cNvPr id="52" name="Oval 51">
          <a:extLst>
            <a:ext uri="{FF2B5EF4-FFF2-40B4-BE49-F238E27FC236}">
              <a16:creationId xmlns:a16="http://schemas.microsoft.com/office/drawing/2014/main" id="{FC1F0117-AFC9-44AF-B68D-6346F9C41091}"/>
            </a:ext>
          </a:extLst>
        </xdr:cNvPr>
        <xdr:cNvSpPr>
          <a:spLocks noChangeAspect="1"/>
        </xdr:cNvSpPr>
      </xdr:nvSpPr>
      <xdr:spPr>
        <a:xfrm>
          <a:off x="1265486" y="4420181"/>
          <a:ext cx="145933" cy="144000"/>
        </a:xfrm>
        <a:prstGeom prst="ellipse">
          <a:avLst/>
        </a:prstGeom>
        <a:solidFill>
          <a:srgbClr val="CFCFC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621415</xdr:colOff>
      <xdr:row>29</xdr:row>
      <xdr:rowOff>59009</xdr:rowOff>
    </xdr:from>
    <xdr:to>
      <xdr:col>2</xdr:col>
      <xdr:colOff>123276</xdr:colOff>
      <xdr:row>29</xdr:row>
      <xdr:rowOff>203009</xdr:rowOff>
    </xdr:to>
    <xdr:sp macro="" textlink="">
      <xdr:nvSpPr>
        <xdr:cNvPr id="53" name="Oval 52">
          <a:extLst>
            <a:ext uri="{FF2B5EF4-FFF2-40B4-BE49-F238E27FC236}">
              <a16:creationId xmlns:a16="http://schemas.microsoft.com/office/drawing/2014/main" id="{6A19257C-5D3F-4C7C-9BEF-418794718D63}"/>
            </a:ext>
          </a:extLst>
        </xdr:cNvPr>
        <xdr:cNvSpPr>
          <a:spLocks noChangeAspect="1"/>
        </xdr:cNvSpPr>
      </xdr:nvSpPr>
      <xdr:spPr>
        <a:xfrm>
          <a:off x="1265486" y="5102723"/>
          <a:ext cx="145933" cy="144000"/>
        </a:xfrm>
        <a:prstGeom prst="ellipse">
          <a:avLst/>
        </a:prstGeom>
        <a:solidFill>
          <a:srgbClr val="CFCFC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17</xdr:col>
      <xdr:colOff>598220</xdr:colOff>
      <xdr:row>31</xdr:row>
      <xdr:rowOff>110512</xdr:rowOff>
    </xdr:from>
    <xdr:to>
      <xdr:col>25</xdr:col>
      <xdr:colOff>78055</xdr:colOff>
      <xdr:row>37</xdr:row>
      <xdr:rowOff>145145</xdr:rowOff>
    </xdr:to>
    <xdr:sp macro="" textlink="">
      <xdr:nvSpPr>
        <xdr:cNvPr id="25" name="TextBox 24">
          <a:extLst>
            <a:ext uri="{FF2B5EF4-FFF2-40B4-BE49-F238E27FC236}">
              <a16:creationId xmlns:a16="http://schemas.microsoft.com/office/drawing/2014/main" id="{DC384572-4982-417E-97ED-8147190180D3}"/>
            </a:ext>
          </a:extLst>
        </xdr:cNvPr>
        <xdr:cNvSpPr txBox="1"/>
      </xdr:nvSpPr>
      <xdr:spPr>
        <a:xfrm>
          <a:off x="11293434" y="5408226"/>
          <a:ext cx="4632407" cy="10778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800" i="0" baseline="0">
              <a:latin typeface="Roboto" panose="02000000000000000000" pitchFamily="2" charset="0"/>
              <a:ea typeface="Roboto" panose="02000000000000000000" pitchFamily="2" charset="0"/>
            </a:rPr>
            <a:t>The Biodiversity Integrated Assessment and Computation Tool was developed by FAO with the support of the Agence Française du Développement (AFD). FAO declines all responsibility for errors or deficiencies in the database or software or in the documentation accompanying it, for program maintenance and upgrading as well as for any damage that may arise from them. FAO also declines any responsibility for updating the data and assumes no responsibility for errors and omissions in the data provided. Users are, however, kindly asked to report any errors or deficiencies in this product to FAO. </a:t>
          </a:r>
        </a:p>
        <a:p>
          <a:pPr algn="l"/>
          <a:endParaRPr lang="en-US" sz="800" i="0" baseline="0">
            <a:latin typeface="Roboto" panose="02000000000000000000" pitchFamily="2" charset="0"/>
            <a:ea typeface="Roboto" panose="02000000000000000000" pitchFamily="2" charset="0"/>
          </a:endParaRPr>
        </a:p>
        <a:p>
          <a:pPr algn="l"/>
          <a:endParaRPr lang="en-US" sz="800" i="0" baseline="0">
            <a:latin typeface="Roboto" panose="02000000000000000000" pitchFamily="2" charset="0"/>
            <a:ea typeface="Roboto" panose="02000000000000000000" pitchFamily="2"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185721</xdr:colOff>
      <xdr:row>17</xdr:row>
      <xdr:rowOff>38098</xdr:rowOff>
    </xdr:from>
    <xdr:to>
      <xdr:col>3</xdr:col>
      <xdr:colOff>804836</xdr:colOff>
      <xdr:row>47</xdr:row>
      <xdr:rowOff>28574</xdr:rowOff>
    </xdr:to>
    <xdr:grpSp>
      <xdr:nvGrpSpPr>
        <xdr:cNvPr id="18" name="Group 17">
          <a:extLst>
            <a:ext uri="{FF2B5EF4-FFF2-40B4-BE49-F238E27FC236}">
              <a16:creationId xmlns:a16="http://schemas.microsoft.com/office/drawing/2014/main" id="{00000000-0008-0000-0300-000012000000}"/>
            </a:ext>
          </a:extLst>
        </xdr:cNvPr>
        <xdr:cNvGrpSpPr/>
      </xdr:nvGrpSpPr>
      <xdr:grpSpPr>
        <a:xfrm>
          <a:off x="1241409" y="3506786"/>
          <a:ext cx="619115" cy="6181726"/>
          <a:chOff x="4398532" y="2457448"/>
          <a:chExt cx="944993" cy="4152901"/>
        </a:xfrm>
      </xdr:grpSpPr>
      <xdr:sp macro="" textlink="">
        <xdr:nvSpPr>
          <xdr:cNvPr id="15" name="Rectangle 14">
            <a:extLst>
              <a:ext uri="{FF2B5EF4-FFF2-40B4-BE49-F238E27FC236}">
                <a16:creationId xmlns:a16="http://schemas.microsoft.com/office/drawing/2014/main" id="{00000000-0008-0000-0300-00000F000000}"/>
              </a:ext>
            </a:extLst>
          </xdr:cNvPr>
          <xdr:cNvSpPr/>
        </xdr:nvSpPr>
        <xdr:spPr>
          <a:xfrm rot="5400000" flipH="1">
            <a:off x="2679267" y="4176713"/>
            <a:ext cx="4152901" cy="714372"/>
          </a:xfrm>
          <a:prstGeom prst="rect">
            <a:avLst/>
          </a:prstGeom>
          <a:solidFill>
            <a:srgbClr val="F2F2F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0">
                <a:solidFill>
                  <a:sysClr val="windowText" lastClr="000000"/>
                </a:solidFill>
                <a:latin typeface="Roboto" panose="02000000000000000000" pitchFamily="2" charset="0"/>
                <a:ea typeface="Roboto" panose="02000000000000000000" pitchFamily="2" charset="0"/>
              </a:rPr>
              <a:t>Pressure 1: Land Use</a:t>
            </a:r>
          </a:p>
        </xdr:txBody>
      </xdr:sp>
      <xdr:sp macro="" textlink="">
        <xdr:nvSpPr>
          <xdr:cNvPr id="16" name="Isosceles Triangle 15">
            <a:extLst>
              <a:ext uri="{FF2B5EF4-FFF2-40B4-BE49-F238E27FC236}">
                <a16:creationId xmlns:a16="http://schemas.microsoft.com/office/drawing/2014/main" id="{00000000-0008-0000-0300-000010000000}"/>
              </a:ext>
            </a:extLst>
          </xdr:cNvPr>
          <xdr:cNvSpPr/>
        </xdr:nvSpPr>
        <xdr:spPr>
          <a:xfrm rot="5400000">
            <a:off x="3145635" y="4355312"/>
            <a:ext cx="4067169" cy="328610"/>
          </a:xfrm>
          <a:prstGeom prst="triangle">
            <a:avLst>
              <a:gd name="adj" fmla="val 51168"/>
            </a:avLst>
          </a:prstGeom>
          <a:solidFill>
            <a:srgbClr val="F2C80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66</xdr:col>
      <xdr:colOff>952479</xdr:colOff>
      <xdr:row>17</xdr:row>
      <xdr:rowOff>19050</xdr:rowOff>
    </xdr:from>
    <xdr:to>
      <xdr:col>67</xdr:col>
      <xdr:colOff>485744</xdr:colOff>
      <xdr:row>47</xdr:row>
      <xdr:rowOff>9526</xdr:rowOff>
    </xdr:to>
    <xdr:grpSp>
      <xdr:nvGrpSpPr>
        <xdr:cNvPr id="25" name="Group 24">
          <a:extLst>
            <a:ext uri="{FF2B5EF4-FFF2-40B4-BE49-F238E27FC236}">
              <a16:creationId xmlns:a16="http://schemas.microsoft.com/office/drawing/2014/main" id="{00000000-0008-0000-0300-000019000000}"/>
            </a:ext>
          </a:extLst>
        </xdr:cNvPr>
        <xdr:cNvGrpSpPr/>
      </xdr:nvGrpSpPr>
      <xdr:grpSpPr>
        <a:xfrm>
          <a:off x="31948417" y="3487738"/>
          <a:ext cx="533390" cy="6181726"/>
          <a:chOff x="4398532" y="2457448"/>
          <a:chExt cx="944993" cy="4152901"/>
        </a:xfrm>
      </xdr:grpSpPr>
      <xdr:sp macro="" textlink="">
        <xdr:nvSpPr>
          <xdr:cNvPr id="26" name="Rectangle 25">
            <a:extLst>
              <a:ext uri="{FF2B5EF4-FFF2-40B4-BE49-F238E27FC236}">
                <a16:creationId xmlns:a16="http://schemas.microsoft.com/office/drawing/2014/main" id="{00000000-0008-0000-0300-00001A000000}"/>
              </a:ext>
            </a:extLst>
          </xdr:cNvPr>
          <xdr:cNvSpPr/>
        </xdr:nvSpPr>
        <xdr:spPr>
          <a:xfrm rot="5400000" flipH="1">
            <a:off x="2679267" y="4176713"/>
            <a:ext cx="4152901" cy="714371"/>
          </a:xfrm>
          <a:prstGeom prst="rect">
            <a:avLst/>
          </a:prstGeom>
          <a:solidFill>
            <a:srgbClr val="F2F2F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ysClr val="windowText" lastClr="000000"/>
                </a:solidFill>
                <a:latin typeface="Roboto bold" panose="02000000000000000000" pitchFamily="2" charset="0"/>
                <a:ea typeface="Roboto bold" panose="02000000000000000000" pitchFamily="2" charset="0"/>
              </a:rPr>
              <a:t>MSA Patch Results</a:t>
            </a:r>
          </a:p>
        </xdr:txBody>
      </xdr:sp>
      <xdr:sp macro="" textlink="">
        <xdr:nvSpPr>
          <xdr:cNvPr id="27" name="Isosceles Triangle 26">
            <a:extLst>
              <a:ext uri="{FF2B5EF4-FFF2-40B4-BE49-F238E27FC236}">
                <a16:creationId xmlns:a16="http://schemas.microsoft.com/office/drawing/2014/main" id="{00000000-0008-0000-0300-00001B000000}"/>
              </a:ext>
            </a:extLst>
          </xdr:cNvPr>
          <xdr:cNvSpPr/>
        </xdr:nvSpPr>
        <xdr:spPr>
          <a:xfrm rot="5400000">
            <a:off x="3145635" y="4355312"/>
            <a:ext cx="4067169" cy="328610"/>
          </a:xfrm>
          <a:prstGeom prst="triangle">
            <a:avLst>
              <a:gd name="adj" fmla="val 51168"/>
            </a:avLst>
          </a:prstGeom>
          <a:solidFill>
            <a:srgbClr val="F2C80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2</xdr:col>
      <xdr:colOff>52918</xdr:colOff>
      <xdr:row>48</xdr:row>
      <xdr:rowOff>211666</xdr:rowOff>
    </xdr:from>
    <xdr:to>
      <xdr:col>3</xdr:col>
      <xdr:colOff>804832</xdr:colOff>
      <xdr:row>60</xdr:row>
      <xdr:rowOff>66673</xdr:rowOff>
    </xdr:to>
    <xdr:grpSp>
      <xdr:nvGrpSpPr>
        <xdr:cNvPr id="29" name="Group 28">
          <a:extLst>
            <a:ext uri="{FF2B5EF4-FFF2-40B4-BE49-F238E27FC236}">
              <a16:creationId xmlns:a16="http://schemas.microsoft.com/office/drawing/2014/main" id="{00000000-0008-0000-0300-00001D000000}"/>
            </a:ext>
          </a:extLst>
        </xdr:cNvPr>
        <xdr:cNvGrpSpPr/>
      </xdr:nvGrpSpPr>
      <xdr:grpSpPr>
        <a:xfrm>
          <a:off x="886356" y="10077979"/>
          <a:ext cx="974164" cy="2331507"/>
          <a:chOff x="3872751" y="2457447"/>
          <a:chExt cx="1470774" cy="4152901"/>
        </a:xfrm>
      </xdr:grpSpPr>
      <xdr:sp macro="" textlink="">
        <xdr:nvSpPr>
          <xdr:cNvPr id="30" name="Rectangle 29">
            <a:extLst>
              <a:ext uri="{FF2B5EF4-FFF2-40B4-BE49-F238E27FC236}">
                <a16:creationId xmlns:a16="http://schemas.microsoft.com/office/drawing/2014/main" id="{00000000-0008-0000-0300-00001E000000}"/>
              </a:ext>
            </a:extLst>
          </xdr:cNvPr>
          <xdr:cNvSpPr/>
        </xdr:nvSpPr>
        <xdr:spPr>
          <a:xfrm rot="5400000" flipH="1">
            <a:off x="2416378" y="3913820"/>
            <a:ext cx="4152901" cy="1240156"/>
          </a:xfrm>
          <a:prstGeom prst="rect">
            <a:avLst/>
          </a:prstGeom>
          <a:solidFill>
            <a:srgbClr val="F2F2F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0">
                <a:solidFill>
                  <a:sysClr val="windowText" lastClr="000000"/>
                </a:solidFill>
                <a:latin typeface="Roboto" panose="02000000000000000000" pitchFamily="2" charset="0"/>
                <a:ea typeface="Roboto" panose="02000000000000000000" pitchFamily="2" charset="0"/>
              </a:rPr>
              <a:t>Pressure 4: Encroachment</a:t>
            </a:r>
          </a:p>
        </xdr:txBody>
      </xdr:sp>
      <xdr:sp macro="" textlink="">
        <xdr:nvSpPr>
          <xdr:cNvPr id="31" name="Isosceles Triangle 30">
            <a:extLst>
              <a:ext uri="{FF2B5EF4-FFF2-40B4-BE49-F238E27FC236}">
                <a16:creationId xmlns:a16="http://schemas.microsoft.com/office/drawing/2014/main" id="{00000000-0008-0000-0300-00001F000000}"/>
              </a:ext>
            </a:extLst>
          </xdr:cNvPr>
          <xdr:cNvSpPr/>
        </xdr:nvSpPr>
        <xdr:spPr>
          <a:xfrm rot="5400000">
            <a:off x="3145635" y="4355312"/>
            <a:ext cx="4067169" cy="328610"/>
          </a:xfrm>
          <a:prstGeom prst="triangle">
            <a:avLst>
              <a:gd name="adj" fmla="val 51168"/>
            </a:avLst>
          </a:prstGeom>
          <a:solidFill>
            <a:srgbClr val="F2C80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22</xdr:col>
      <xdr:colOff>186420</xdr:colOff>
      <xdr:row>49</xdr:row>
      <xdr:rowOff>81645</xdr:rowOff>
    </xdr:from>
    <xdr:to>
      <xdr:col>26</xdr:col>
      <xdr:colOff>53068</xdr:colOff>
      <xdr:row>60</xdr:row>
      <xdr:rowOff>148167</xdr:rowOff>
    </xdr:to>
    <xdr:grpSp>
      <xdr:nvGrpSpPr>
        <xdr:cNvPr id="46" name="Group 45">
          <a:extLst>
            <a:ext uri="{FF2B5EF4-FFF2-40B4-BE49-F238E27FC236}">
              <a16:creationId xmlns:a16="http://schemas.microsoft.com/office/drawing/2014/main" id="{00000000-0008-0000-0300-00002E000000}"/>
            </a:ext>
          </a:extLst>
        </xdr:cNvPr>
        <xdr:cNvGrpSpPr/>
      </xdr:nvGrpSpPr>
      <xdr:grpSpPr>
        <a:xfrm>
          <a:off x="11965670" y="10154333"/>
          <a:ext cx="962023" cy="2336647"/>
          <a:chOff x="4398532" y="2457449"/>
          <a:chExt cx="1133989" cy="4152901"/>
        </a:xfrm>
      </xdr:grpSpPr>
      <xdr:sp macro="" textlink="">
        <xdr:nvSpPr>
          <xdr:cNvPr id="47" name="Rectangle 46">
            <a:extLst>
              <a:ext uri="{FF2B5EF4-FFF2-40B4-BE49-F238E27FC236}">
                <a16:creationId xmlns:a16="http://schemas.microsoft.com/office/drawing/2014/main" id="{00000000-0008-0000-0300-00002F000000}"/>
              </a:ext>
            </a:extLst>
          </xdr:cNvPr>
          <xdr:cNvSpPr/>
        </xdr:nvSpPr>
        <xdr:spPr>
          <a:xfrm rot="5400000" flipH="1">
            <a:off x="2824107" y="4031874"/>
            <a:ext cx="4152901" cy="1004052"/>
          </a:xfrm>
          <a:prstGeom prst="rect">
            <a:avLst/>
          </a:prstGeom>
          <a:solidFill>
            <a:srgbClr val="F2F2F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ysClr val="windowText" lastClr="000000"/>
                </a:solidFill>
                <a:latin typeface="Roboto bold" panose="02000000000000000000" pitchFamily="2" charset="0"/>
                <a:ea typeface="Roboto bold" panose="02000000000000000000" pitchFamily="2" charset="0"/>
              </a:rPr>
              <a:t>MSA Results </a:t>
            </a:r>
          </a:p>
          <a:p>
            <a:pPr algn="ctr"/>
            <a:r>
              <a:rPr lang="en-US" sz="2000" b="1">
                <a:solidFill>
                  <a:sysClr val="windowText" lastClr="000000"/>
                </a:solidFill>
                <a:latin typeface="Roboto bold" panose="02000000000000000000" pitchFamily="2" charset="0"/>
                <a:ea typeface="Roboto bold" panose="02000000000000000000" pitchFamily="2" charset="0"/>
              </a:rPr>
              <a:t>Project</a:t>
            </a:r>
            <a:r>
              <a:rPr lang="en-US" sz="2000" b="1" baseline="0">
                <a:solidFill>
                  <a:sysClr val="windowText" lastClr="000000"/>
                </a:solidFill>
                <a:latin typeface="Roboto bold" panose="02000000000000000000" pitchFamily="2" charset="0"/>
                <a:ea typeface="Roboto bold" panose="02000000000000000000" pitchFamily="2" charset="0"/>
              </a:rPr>
              <a:t> Pressures</a:t>
            </a:r>
            <a:endParaRPr lang="en-US" sz="2000" b="1">
              <a:solidFill>
                <a:sysClr val="windowText" lastClr="000000"/>
              </a:solidFill>
              <a:latin typeface="Roboto bold" panose="02000000000000000000" pitchFamily="2" charset="0"/>
              <a:ea typeface="Roboto bold" panose="02000000000000000000" pitchFamily="2" charset="0"/>
            </a:endParaRPr>
          </a:p>
        </xdr:txBody>
      </xdr:sp>
      <xdr:sp macro="" textlink="">
        <xdr:nvSpPr>
          <xdr:cNvPr id="48" name="Isosceles Triangle 47">
            <a:extLst>
              <a:ext uri="{FF2B5EF4-FFF2-40B4-BE49-F238E27FC236}">
                <a16:creationId xmlns:a16="http://schemas.microsoft.com/office/drawing/2014/main" id="{00000000-0008-0000-0300-000030000000}"/>
              </a:ext>
            </a:extLst>
          </xdr:cNvPr>
          <xdr:cNvSpPr/>
        </xdr:nvSpPr>
        <xdr:spPr>
          <a:xfrm rot="5400000">
            <a:off x="3375976" y="4441312"/>
            <a:ext cx="4067168" cy="245923"/>
          </a:xfrm>
          <a:prstGeom prst="triangle">
            <a:avLst>
              <a:gd name="adj" fmla="val 53730"/>
            </a:avLst>
          </a:prstGeom>
          <a:solidFill>
            <a:srgbClr val="F2C80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22</xdr:col>
      <xdr:colOff>298739</xdr:colOff>
      <xdr:row>16</xdr:row>
      <xdr:rowOff>121720</xdr:rowOff>
    </xdr:from>
    <xdr:to>
      <xdr:col>37</xdr:col>
      <xdr:colOff>125829</xdr:colOff>
      <xdr:row>47</xdr:row>
      <xdr:rowOff>32285</xdr:rowOff>
    </xdr:to>
    <mc:AlternateContent xmlns:mc="http://schemas.openxmlformats.org/markup-compatibility/2006">
      <mc:Choice xmlns:cx1="http://schemas.microsoft.com/office/drawing/2015/9/8/chartex" Requires="cx1">
        <xdr:graphicFrame macro="">
          <xdr:nvGraphicFramePr>
            <xdr:cNvPr id="8" name="Chart 7">
              <a:extLst>
                <a:ext uri="{FF2B5EF4-FFF2-40B4-BE49-F238E27FC236}">
                  <a16:creationId xmlns:a16="http://schemas.microsoft.com/office/drawing/2014/main" id="{00000000-0008-0000-0300-000008000000}"/>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12090689" y="3404670"/>
              <a:ext cx="3084640" cy="6406615"/>
            </a:xfrm>
            <a:prstGeom prst="rect">
              <a:avLst/>
            </a:prstGeom>
            <a:solidFill>
              <a:prstClr val="white"/>
            </a:solidFill>
            <a:ln w="1">
              <a:solidFill>
                <a:prstClr val="green"/>
              </a:solidFill>
            </a:ln>
          </xdr:spPr>
          <xdr:txBody>
            <a:bodyPr vertOverflow="clip" horzOverflow="clip"/>
            <a:lstStyle/>
            <a:p>
              <a:r>
                <a:rPr lang="en-GB"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37</xdr:col>
      <xdr:colOff>83013</xdr:colOff>
      <xdr:row>16</xdr:row>
      <xdr:rowOff>128638</xdr:rowOff>
    </xdr:from>
    <xdr:to>
      <xdr:col>53</xdr:col>
      <xdr:colOff>0</xdr:colOff>
      <xdr:row>47</xdr:row>
      <xdr:rowOff>25369</xdr:rowOff>
    </xdr:to>
    <mc:AlternateContent xmlns:mc="http://schemas.openxmlformats.org/markup-compatibility/2006">
      <mc:Choice xmlns:cx1="http://schemas.microsoft.com/office/drawing/2015/9/8/chartex" Requires="cx1">
        <xdr:graphicFrame macro="">
          <xdr:nvGraphicFramePr>
            <xdr:cNvPr id="9" name="Chart 8">
              <a:extLst>
                <a:ext uri="{FF2B5EF4-FFF2-40B4-BE49-F238E27FC236}">
                  <a16:creationId xmlns:a16="http://schemas.microsoft.com/office/drawing/2014/main" id="{00000000-0008-0000-0300-000009000000}"/>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15132513" y="3411588"/>
              <a:ext cx="3066587" cy="6392781"/>
            </a:xfrm>
            <a:prstGeom prst="rect">
              <a:avLst/>
            </a:prstGeom>
            <a:solidFill>
              <a:prstClr val="white"/>
            </a:solidFill>
            <a:ln w="1">
              <a:solidFill>
                <a:prstClr val="green"/>
              </a:solidFill>
            </a:ln>
          </xdr:spPr>
          <xdr:txBody>
            <a:bodyPr vertOverflow="clip" horzOverflow="clip"/>
            <a:lstStyle/>
            <a:p>
              <a:r>
                <a:rPr lang="en-GB"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23</xdr:col>
      <xdr:colOff>78389</xdr:colOff>
      <xdr:row>121</xdr:row>
      <xdr:rowOff>336157</xdr:rowOff>
    </xdr:from>
    <xdr:to>
      <xdr:col>36</xdr:col>
      <xdr:colOff>127248</xdr:colOff>
      <xdr:row>121</xdr:row>
      <xdr:rowOff>868496</xdr:rowOff>
    </xdr:to>
    <xdr:grpSp>
      <xdr:nvGrpSpPr>
        <xdr:cNvPr id="44" name="Group 43">
          <a:extLst>
            <a:ext uri="{FF2B5EF4-FFF2-40B4-BE49-F238E27FC236}">
              <a16:creationId xmlns:a16="http://schemas.microsoft.com/office/drawing/2014/main" id="{00000000-0008-0000-0300-00002C000000}"/>
            </a:ext>
          </a:extLst>
        </xdr:cNvPr>
        <xdr:cNvGrpSpPr/>
      </xdr:nvGrpSpPr>
      <xdr:grpSpPr>
        <a:xfrm>
          <a:off x="12357702" y="19568720"/>
          <a:ext cx="2628546" cy="532339"/>
          <a:chOff x="7814049" y="19221510"/>
          <a:chExt cx="2201509" cy="532339"/>
        </a:xfrm>
      </xdr:grpSpPr>
      <xdr:sp macro="" textlink="">
        <xdr:nvSpPr>
          <xdr:cNvPr id="45" name="Rounded Rectangle 44">
            <a:hlinkClick xmlns:r="http://schemas.openxmlformats.org/officeDocument/2006/relationships" r:id="rId3"/>
            <a:extLst>
              <a:ext uri="{FF2B5EF4-FFF2-40B4-BE49-F238E27FC236}">
                <a16:creationId xmlns:a16="http://schemas.microsoft.com/office/drawing/2014/main" id="{00000000-0008-0000-0300-00002D000000}"/>
              </a:ext>
            </a:extLst>
          </xdr:cNvPr>
          <xdr:cNvSpPr/>
        </xdr:nvSpPr>
        <xdr:spPr>
          <a:xfrm>
            <a:off x="7905750" y="19259550"/>
            <a:ext cx="2038350" cy="400050"/>
          </a:xfrm>
          <a:prstGeom prst="roundRect">
            <a:avLst/>
          </a:prstGeom>
          <a:solidFill>
            <a:srgbClr val="37464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49" name="Rounded Rectangle 48">
            <a:hlinkClick xmlns:r="http://schemas.openxmlformats.org/officeDocument/2006/relationships" r:id="rId4"/>
            <a:extLst>
              <a:ext uri="{FF2B5EF4-FFF2-40B4-BE49-F238E27FC236}">
                <a16:creationId xmlns:a16="http://schemas.microsoft.com/office/drawing/2014/main" id="{00000000-0008-0000-0300-000031000000}"/>
              </a:ext>
            </a:extLst>
          </xdr:cNvPr>
          <xdr:cNvSpPr/>
        </xdr:nvSpPr>
        <xdr:spPr>
          <a:xfrm>
            <a:off x="7814049" y="19221510"/>
            <a:ext cx="2201509" cy="532339"/>
          </a:xfrm>
          <a:prstGeom prst="roundRect">
            <a:avLst/>
          </a:prstGeom>
          <a:noFill/>
          <a:ln>
            <a:no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ctr"/>
            <a:r>
              <a:rPr lang="en-US" sz="1100" b="1" i="0">
                <a:solidFill>
                  <a:schemeClr val="bg1"/>
                </a:solidFill>
                <a:latin typeface="Roboto" panose="02000000000000000000" pitchFamily="2" charset="0"/>
                <a:ea typeface="Roboto" panose="02000000000000000000" pitchFamily="2" charset="0"/>
              </a:rPr>
              <a:t>Click to go to the Baseline Water Stress</a:t>
            </a:r>
            <a:r>
              <a:rPr lang="en-US" sz="1100" b="1" i="0" baseline="0">
                <a:solidFill>
                  <a:schemeClr val="bg1"/>
                </a:solidFill>
                <a:latin typeface="Roboto" panose="02000000000000000000" pitchFamily="2" charset="0"/>
                <a:ea typeface="Roboto" panose="02000000000000000000" pitchFamily="2" charset="0"/>
              </a:rPr>
              <a:t> map</a:t>
            </a:r>
            <a:endParaRPr lang="en-US" sz="1100" b="1" i="0">
              <a:solidFill>
                <a:schemeClr val="bg1"/>
              </a:solidFill>
              <a:latin typeface="Roboto" panose="02000000000000000000" pitchFamily="2" charset="0"/>
              <a:ea typeface="Roboto" panose="02000000000000000000" pitchFamily="2" charset="0"/>
            </a:endParaRPr>
          </a:p>
        </xdr:txBody>
      </xdr:sp>
    </xdr:grpSp>
    <xdr:clientData/>
  </xdr:twoCellAnchor>
  <xdr:twoCellAnchor>
    <xdr:from>
      <xdr:col>23</xdr:col>
      <xdr:colOff>97439</xdr:colOff>
      <xdr:row>119</xdr:row>
      <xdr:rowOff>107565</xdr:rowOff>
    </xdr:from>
    <xdr:to>
      <xdr:col>36</xdr:col>
      <xdr:colOff>146298</xdr:colOff>
      <xdr:row>120</xdr:row>
      <xdr:rowOff>68404</xdr:rowOff>
    </xdr:to>
    <xdr:grpSp>
      <xdr:nvGrpSpPr>
        <xdr:cNvPr id="50" name="Group 49">
          <a:extLst>
            <a:ext uri="{FF2B5EF4-FFF2-40B4-BE49-F238E27FC236}">
              <a16:creationId xmlns:a16="http://schemas.microsoft.com/office/drawing/2014/main" id="{00000000-0008-0000-0300-000032000000}"/>
            </a:ext>
          </a:extLst>
        </xdr:cNvPr>
        <xdr:cNvGrpSpPr/>
      </xdr:nvGrpSpPr>
      <xdr:grpSpPr>
        <a:xfrm>
          <a:off x="12376752" y="18197128"/>
          <a:ext cx="2628546" cy="532339"/>
          <a:chOff x="7814049" y="19221518"/>
          <a:chExt cx="2201509" cy="532339"/>
        </a:xfrm>
      </xdr:grpSpPr>
      <xdr:sp macro="" textlink="">
        <xdr:nvSpPr>
          <xdr:cNvPr id="51" name="Rounded Rectangle 50">
            <a:hlinkClick xmlns:r="http://schemas.openxmlformats.org/officeDocument/2006/relationships" r:id="rId5"/>
            <a:extLst>
              <a:ext uri="{FF2B5EF4-FFF2-40B4-BE49-F238E27FC236}">
                <a16:creationId xmlns:a16="http://schemas.microsoft.com/office/drawing/2014/main" id="{00000000-0008-0000-0300-000033000000}"/>
              </a:ext>
            </a:extLst>
          </xdr:cNvPr>
          <xdr:cNvSpPr/>
        </xdr:nvSpPr>
        <xdr:spPr>
          <a:xfrm>
            <a:off x="7905750" y="19259550"/>
            <a:ext cx="2038350" cy="400050"/>
          </a:xfrm>
          <a:prstGeom prst="roundRect">
            <a:avLst/>
          </a:prstGeom>
          <a:solidFill>
            <a:srgbClr val="37464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52" name="Rounded Rectangle 51">
            <a:hlinkClick xmlns:r="http://schemas.openxmlformats.org/officeDocument/2006/relationships" r:id="rId6"/>
            <a:extLst>
              <a:ext uri="{FF2B5EF4-FFF2-40B4-BE49-F238E27FC236}">
                <a16:creationId xmlns:a16="http://schemas.microsoft.com/office/drawing/2014/main" id="{00000000-0008-0000-0300-000034000000}"/>
              </a:ext>
            </a:extLst>
          </xdr:cNvPr>
          <xdr:cNvSpPr/>
        </xdr:nvSpPr>
        <xdr:spPr>
          <a:xfrm>
            <a:off x="7814049" y="19221518"/>
            <a:ext cx="2201509" cy="532339"/>
          </a:xfrm>
          <a:prstGeom prst="roundRect">
            <a:avLst/>
          </a:prstGeom>
          <a:noFill/>
          <a:ln>
            <a:no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ctr"/>
            <a:r>
              <a:rPr lang="en-US" sz="1100" b="1" i="0">
                <a:solidFill>
                  <a:schemeClr val="bg1"/>
                </a:solidFill>
                <a:latin typeface="Roboto" panose="02000000000000000000" pitchFamily="2" charset="0"/>
                <a:ea typeface="Roboto" panose="02000000000000000000" pitchFamily="2" charset="0"/>
              </a:rPr>
              <a:t>Click to go to IUCN's</a:t>
            </a:r>
            <a:r>
              <a:rPr lang="en-US" sz="1100" b="1" i="0" baseline="0">
                <a:solidFill>
                  <a:schemeClr val="bg1"/>
                </a:solidFill>
                <a:latin typeface="Roboto" panose="02000000000000000000" pitchFamily="2" charset="0"/>
                <a:ea typeface="Roboto" panose="02000000000000000000" pitchFamily="2" charset="0"/>
              </a:rPr>
              <a:t> Threatened Species map</a:t>
            </a:r>
            <a:endParaRPr lang="en-US" sz="1100" b="1" i="0">
              <a:solidFill>
                <a:schemeClr val="bg1"/>
              </a:solidFill>
              <a:latin typeface="Roboto" panose="02000000000000000000" pitchFamily="2" charset="0"/>
              <a:ea typeface="Roboto" panose="02000000000000000000" pitchFamily="2" charset="0"/>
            </a:endParaRPr>
          </a:p>
        </xdr:txBody>
      </xdr:sp>
    </xdr:grpSp>
    <xdr:clientData/>
  </xdr:twoCellAnchor>
  <xdr:twoCellAnchor>
    <xdr:from>
      <xdr:col>22</xdr:col>
      <xdr:colOff>160565</xdr:colOff>
      <xdr:row>119</xdr:row>
      <xdr:rowOff>250372</xdr:rowOff>
    </xdr:from>
    <xdr:to>
      <xdr:col>23</xdr:col>
      <xdr:colOff>93890</xdr:colOff>
      <xdr:row>119</xdr:row>
      <xdr:rowOff>440872</xdr:rowOff>
    </xdr:to>
    <xdr:sp macro="" textlink="">
      <xdr:nvSpPr>
        <xdr:cNvPr id="34" name="Right Arrow 33">
          <a:extLst>
            <a:ext uri="{FF2B5EF4-FFF2-40B4-BE49-F238E27FC236}">
              <a16:creationId xmlns:a16="http://schemas.microsoft.com/office/drawing/2014/main" id="{00000000-0008-0000-0300-000022000000}"/>
            </a:ext>
          </a:extLst>
        </xdr:cNvPr>
        <xdr:cNvSpPr/>
      </xdr:nvSpPr>
      <xdr:spPr>
        <a:xfrm>
          <a:off x="11440886" y="23518586"/>
          <a:ext cx="409575" cy="190500"/>
        </a:xfrm>
        <a:prstGeom prst="rightArrow">
          <a:avLst/>
        </a:prstGeom>
        <a:solidFill>
          <a:srgbClr val="F2C80F"/>
        </a:solidFill>
        <a:ln>
          <a:solidFill>
            <a:srgbClr val="F2C80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22</xdr:col>
      <xdr:colOff>141515</xdr:colOff>
      <xdr:row>121</xdr:row>
      <xdr:rowOff>498022</xdr:rowOff>
    </xdr:from>
    <xdr:to>
      <xdr:col>23</xdr:col>
      <xdr:colOff>74840</xdr:colOff>
      <xdr:row>121</xdr:row>
      <xdr:rowOff>688522</xdr:rowOff>
    </xdr:to>
    <xdr:sp macro="" textlink="">
      <xdr:nvSpPr>
        <xdr:cNvPr id="35" name="Right Arrow 34">
          <a:extLst>
            <a:ext uri="{FF2B5EF4-FFF2-40B4-BE49-F238E27FC236}">
              <a16:creationId xmlns:a16="http://schemas.microsoft.com/office/drawing/2014/main" id="{00000000-0008-0000-0300-000023000000}"/>
            </a:ext>
          </a:extLst>
        </xdr:cNvPr>
        <xdr:cNvSpPr/>
      </xdr:nvSpPr>
      <xdr:spPr>
        <a:xfrm>
          <a:off x="11421836" y="24909236"/>
          <a:ext cx="409575" cy="190500"/>
        </a:xfrm>
        <a:prstGeom prst="rightArrow">
          <a:avLst/>
        </a:prstGeom>
        <a:solidFill>
          <a:srgbClr val="F2C80F"/>
        </a:solidFill>
        <a:ln>
          <a:solidFill>
            <a:srgbClr val="F2C80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23</xdr:col>
      <xdr:colOff>106964</xdr:colOff>
      <xdr:row>117</xdr:row>
      <xdr:rowOff>17698</xdr:rowOff>
    </xdr:from>
    <xdr:to>
      <xdr:col>36</xdr:col>
      <xdr:colOff>155823</xdr:colOff>
      <xdr:row>118</xdr:row>
      <xdr:rowOff>97973</xdr:rowOff>
    </xdr:to>
    <xdr:grpSp>
      <xdr:nvGrpSpPr>
        <xdr:cNvPr id="36" name="Group 35">
          <a:extLst>
            <a:ext uri="{FF2B5EF4-FFF2-40B4-BE49-F238E27FC236}">
              <a16:creationId xmlns:a16="http://schemas.microsoft.com/office/drawing/2014/main" id="{00000000-0008-0000-0300-000024000000}"/>
            </a:ext>
          </a:extLst>
        </xdr:cNvPr>
        <xdr:cNvGrpSpPr/>
      </xdr:nvGrpSpPr>
      <xdr:grpSpPr>
        <a:xfrm>
          <a:off x="12386277" y="17154761"/>
          <a:ext cx="2628546" cy="556525"/>
          <a:chOff x="7814049" y="19221517"/>
          <a:chExt cx="2201509" cy="532339"/>
        </a:xfrm>
      </xdr:grpSpPr>
      <xdr:sp macro="" textlink="">
        <xdr:nvSpPr>
          <xdr:cNvPr id="40" name="Rounded Rectangle 39">
            <a:hlinkClick xmlns:r="http://schemas.openxmlformats.org/officeDocument/2006/relationships" r:id="rId7"/>
            <a:extLst>
              <a:ext uri="{FF2B5EF4-FFF2-40B4-BE49-F238E27FC236}">
                <a16:creationId xmlns:a16="http://schemas.microsoft.com/office/drawing/2014/main" id="{00000000-0008-0000-0300-000028000000}"/>
              </a:ext>
            </a:extLst>
          </xdr:cNvPr>
          <xdr:cNvSpPr/>
        </xdr:nvSpPr>
        <xdr:spPr>
          <a:xfrm>
            <a:off x="7905750" y="19259550"/>
            <a:ext cx="2038350" cy="400050"/>
          </a:xfrm>
          <a:prstGeom prst="roundRect">
            <a:avLst/>
          </a:prstGeom>
          <a:solidFill>
            <a:srgbClr val="37464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41" name="Rounded Rectangle 40">
            <a:hlinkClick xmlns:r="http://schemas.openxmlformats.org/officeDocument/2006/relationships" r:id="rId8"/>
            <a:extLst>
              <a:ext uri="{FF2B5EF4-FFF2-40B4-BE49-F238E27FC236}">
                <a16:creationId xmlns:a16="http://schemas.microsoft.com/office/drawing/2014/main" id="{00000000-0008-0000-0300-000029000000}"/>
              </a:ext>
            </a:extLst>
          </xdr:cNvPr>
          <xdr:cNvSpPr/>
        </xdr:nvSpPr>
        <xdr:spPr>
          <a:xfrm>
            <a:off x="7814049" y="19221517"/>
            <a:ext cx="2201509" cy="532339"/>
          </a:xfrm>
          <a:prstGeom prst="roundRect">
            <a:avLst/>
          </a:prstGeom>
          <a:noFill/>
          <a:ln>
            <a:no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ctr"/>
            <a:r>
              <a:rPr lang="en-US" sz="1100" b="1" i="0">
                <a:solidFill>
                  <a:schemeClr val="bg1"/>
                </a:solidFill>
                <a:latin typeface="Roboto" panose="02000000000000000000" pitchFamily="2" charset="0"/>
                <a:ea typeface="Roboto" panose="02000000000000000000" pitchFamily="2" charset="0"/>
              </a:rPr>
              <a:t>Click to go to the Key Biodiversity Areas </a:t>
            </a:r>
            <a:r>
              <a:rPr lang="en-US" sz="1100" b="1" i="0" baseline="0">
                <a:solidFill>
                  <a:schemeClr val="bg1"/>
                </a:solidFill>
                <a:latin typeface="Roboto" panose="02000000000000000000" pitchFamily="2" charset="0"/>
                <a:ea typeface="Roboto" panose="02000000000000000000" pitchFamily="2" charset="0"/>
              </a:rPr>
              <a:t>map</a:t>
            </a:r>
            <a:endParaRPr lang="en-US" sz="1100" b="1" i="0">
              <a:solidFill>
                <a:schemeClr val="bg1"/>
              </a:solidFill>
              <a:latin typeface="Roboto" panose="02000000000000000000" pitchFamily="2" charset="0"/>
              <a:ea typeface="Roboto" panose="02000000000000000000" pitchFamily="2" charset="0"/>
            </a:endParaRPr>
          </a:p>
        </xdr:txBody>
      </xdr:sp>
    </xdr:grpSp>
    <xdr:clientData/>
  </xdr:twoCellAnchor>
  <xdr:twoCellAnchor>
    <xdr:from>
      <xdr:col>22</xdr:col>
      <xdr:colOff>170090</xdr:colOff>
      <xdr:row>117</xdr:row>
      <xdr:rowOff>155062</xdr:rowOff>
    </xdr:from>
    <xdr:to>
      <xdr:col>23</xdr:col>
      <xdr:colOff>103415</xdr:colOff>
      <xdr:row>117</xdr:row>
      <xdr:rowOff>345562</xdr:rowOff>
    </xdr:to>
    <xdr:sp macro="" textlink="">
      <xdr:nvSpPr>
        <xdr:cNvPr id="42" name="Right Arrow 41">
          <a:extLst>
            <a:ext uri="{FF2B5EF4-FFF2-40B4-BE49-F238E27FC236}">
              <a16:creationId xmlns:a16="http://schemas.microsoft.com/office/drawing/2014/main" id="{00000000-0008-0000-0300-00002A000000}"/>
            </a:ext>
          </a:extLst>
        </xdr:cNvPr>
        <xdr:cNvSpPr/>
      </xdr:nvSpPr>
      <xdr:spPr>
        <a:xfrm>
          <a:off x="11450411" y="22470776"/>
          <a:ext cx="409575" cy="190500"/>
        </a:xfrm>
        <a:prstGeom prst="rightArrow">
          <a:avLst/>
        </a:prstGeom>
        <a:solidFill>
          <a:srgbClr val="F2C80F"/>
        </a:solidFill>
        <a:ln>
          <a:solidFill>
            <a:srgbClr val="F2C80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23</xdr:col>
      <xdr:colOff>106964</xdr:colOff>
      <xdr:row>118</xdr:row>
      <xdr:rowOff>59873</xdr:rowOff>
    </xdr:from>
    <xdr:to>
      <xdr:col>36</xdr:col>
      <xdr:colOff>155823</xdr:colOff>
      <xdr:row>119</xdr:row>
      <xdr:rowOff>145223</xdr:rowOff>
    </xdr:to>
    <xdr:grpSp>
      <xdr:nvGrpSpPr>
        <xdr:cNvPr id="43" name="Group 42">
          <a:extLst>
            <a:ext uri="{FF2B5EF4-FFF2-40B4-BE49-F238E27FC236}">
              <a16:creationId xmlns:a16="http://schemas.microsoft.com/office/drawing/2014/main" id="{00000000-0008-0000-0300-00002B000000}"/>
            </a:ext>
          </a:extLst>
        </xdr:cNvPr>
        <xdr:cNvGrpSpPr/>
      </xdr:nvGrpSpPr>
      <xdr:grpSpPr>
        <a:xfrm>
          <a:off x="12386277" y="17673186"/>
          <a:ext cx="2628546" cy="561600"/>
          <a:chOff x="7814049" y="19221510"/>
          <a:chExt cx="2201509" cy="532339"/>
        </a:xfrm>
      </xdr:grpSpPr>
      <xdr:sp macro="" textlink="">
        <xdr:nvSpPr>
          <xdr:cNvPr id="53" name="Rounded Rectangle 52">
            <a:extLst>
              <a:ext uri="{FF2B5EF4-FFF2-40B4-BE49-F238E27FC236}">
                <a16:creationId xmlns:a16="http://schemas.microsoft.com/office/drawing/2014/main" id="{00000000-0008-0000-0300-000035000000}"/>
              </a:ext>
            </a:extLst>
          </xdr:cNvPr>
          <xdr:cNvSpPr/>
        </xdr:nvSpPr>
        <xdr:spPr>
          <a:xfrm>
            <a:off x="7905750" y="19259550"/>
            <a:ext cx="2038350" cy="400050"/>
          </a:xfrm>
          <a:prstGeom prst="roundRect">
            <a:avLst/>
          </a:prstGeom>
          <a:solidFill>
            <a:srgbClr val="37464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54" name="Rounded Rectangle 53">
            <a:hlinkClick xmlns:r="http://schemas.openxmlformats.org/officeDocument/2006/relationships" r:id="rId9"/>
            <a:extLst>
              <a:ext uri="{FF2B5EF4-FFF2-40B4-BE49-F238E27FC236}">
                <a16:creationId xmlns:a16="http://schemas.microsoft.com/office/drawing/2014/main" id="{00000000-0008-0000-0300-000036000000}"/>
              </a:ext>
            </a:extLst>
          </xdr:cNvPr>
          <xdr:cNvSpPr/>
        </xdr:nvSpPr>
        <xdr:spPr>
          <a:xfrm>
            <a:off x="7814049" y="19221510"/>
            <a:ext cx="2201509" cy="532339"/>
          </a:xfrm>
          <a:prstGeom prst="roundRect">
            <a:avLst/>
          </a:prstGeom>
          <a:noFill/>
          <a:ln>
            <a:no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ctr"/>
            <a:r>
              <a:rPr lang="en-US" sz="1100" b="1" i="0">
                <a:solidFill>
                  <a:schemeClr val="bg1"/>
                </a:solidFill>
                <a:latin typeface="Roboto" panose="02000000000000000000" pitchFamily="2" charset="0"/>
                <a:ea typeface="Roboto" panose="02000000000000000000" pitchFamily="2" charset="0"/>
              </a:rPr>
              <a:t>Click to go to the Protected Areas </a:t>
            </a:r>
            <a:r>
              <a:rPr lang="en-US" sz="1100" b="1" i="0" baseline="0">
                <a:solidFill>
                  <a:schemeClr val="bg1"/>
                </a:solidFill>
                <a:latin typeface="Roboto" panose="02000000000000000000" pitchFamily="2" charset="0"/>
                <a:ea typeface="Roboto" panose="02000000000000000000" pitchFamily="2" charset="0"/>
              </a:rPr>
              <a:t>map</a:t>
            </a:r>
            <a:endParaRPr lang="en-US" sz="1100" b="1" i="0">
              <a:solidFill>
                <a:schemeClr val="bg1"/>
              </a:solidFill>
              <a:latin typeface="Roboto" panose="02000000000000000000" pitchFamily="2" charset="0"/>
              <a:ea typeface="Roboto" panose="02000000000000000000" pitchFamily="2" charset="0"/>
            </a:endParaRPr>
          </a:p>
        </xdr:txBody>
      </xdr:sp>
    </xdr:grpSp>
    <xdr:clientData/>
  </xdr:twoCellAnchor>
  <xdr:twoCellAnchor>
    <xdr:from>
      <xdr:col>22</xdr:col>
      <xdr:colOff>170090</xdr:colOff>
      <xdr:row>118</xdr:row>
      <xdr:rowOff>231262</xdr:rowOff>
    </xdr:from>
    <xdr:to>
      <xdr:col>23</xdr:col>
      <xdr:colOff>103415</xdr:colOff>
      <xdr:row>118</xdr:row>
      <xdr:rowOff>421762</xdr:rowOff>
    </xdr:to>
    <xdr:sp macro="" textlink="">
      <xdr:nvSpPr>
        <xdr:cNvPr id="55" name="Right Arrow 54">
          <a:extLst>
            <a:ext uri="{FF2B5EF4-FFF2-40B4-BE49-F238E27FC236}">
              <a16:creationId xmlns:a16="http://schemas.microsoft.com/office/drawing/2014/main" id="{00000000-0008-0000-0300-000037000000}"/>
            </a:ext>
          </a:extLst>
        </xdr:cNvPr>
        <xdr:cNvSpPr/>
      </xdr:nvSpPr>
      <xdr:spPr>
        <a:xfrm>
          <a:off x="11450411" y="23023226"/>
          <a:ext cx="409575" cy="190500"/>
        </a:xfrm>
        <a:prstGeom prst="rightArrow">
          <a:avLst/>
        </a:prstGeom>
        <a:solidFill>
          <a:srgbClr val="F2C80F"/>
        </a:solidFill>
        <a:ln>
          <a:solidFill>
            <a:srgbClr val="F2C80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23</xdr:col>
      <xdr:colOff>93890</xdr:colOff>
      <xdr:row>120</xdr:row>
      <xdr:rowOff>59872</xdr:rowOff>
    </xdr:from>
    <xdr:to>
      <xdr:col>36</xdr:col>
      <xdr:colOff>142749</xdr:colOff>
      <xdr:row>121</xdr:row>
      <xdr:rowOff>20711</xdr:rowOff>
    </xdr:to>
    <xdr:grpSp>
      <xdr:nvGrpSpPr>
        <xdr:cNvPr id="56" name="Group 55">
          <a:hlinkClick xmlns:r="http://schemas.openxmlformats.org/officeDocument/2006/relationships" r:id="rId10"/>
          <a:extLst>
            <a:ext uri="{FF2B5EF4-FFF2-40B4-BE49-F238E27FC236}">
              <a16:creationId xmlns:a16="http://schemas.microsoft.com/office/drawing/2014/main" id="{00000000-0008-0000-0300-000038000000}"/>
            </a:ext>
          </a:extLst>
        </xdr:cNvPr>
        <xdr:cNvGrpSpPr/>
      </xdr:nvGrpSpPr>
      <xdr:grpSpPr>
        <a:xfrm>
          <a:off x="12373203" y="18720935"/>
          <a:ext cx="2628546" cy="532339"/>
          <a:chOff x="7814049" y="19221510"/>
          <a:chExt cx="2201509" cy="532339"/>
        </a:xfrm>
      </xdr:grpSpPr>
      <xdr:sp macro="" textlink="">
        <xdr:nvSpPr>
          <xdr:cNvPr id="57" name="Rounded Rectangle 56">
            <a:extLst>
              <a:ext uri="{FF2B5EF4-FFF2-40B4-BE49-F238E27FC236}">
                <a16:creationId xmlns:a16="http://schemas.microsoft.com/office/drawing/2014/main" id="{00000000-0008-0000-0300-000039000000}"/>
              </a:ext>
            </a:extLst>
          </xdr:cNvPr>
          <xdr:cNvSpPr/>
        </xdr:nvSpPr>
        <xdr:spPr>
          <a:xfrm>
            <a:off x="7905750" y="19259550"/>
            <a:ext cx="2038350" cy="400050"/>
          </a:xfrm>
          <a:prstGeom prst="roundRect">
            <a:avLst/>
          </a:prstGeom>
          <a:solidFill>
            <a:srgbClr val="5F6B6D"/>
          </a:solidFill>
          <a:ln>
            <a:solidFill>
              <a:srgbClr val="5F6B6D"/>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58" name="Rounded Rectangle 57">
            <a:extLst>
              <a:ext uri="{FF2B5EF4-FFF2-40B4-BE49-F238E27FC236}">
                <a16:creationId xmlns:a16="http://schemas.microsoft.com/office/drawing/2014/main" id="{00000000-0008-0000-0300-00003A000000}"/>
              </a:ext>
            </a:extLst>
          </xdr:cNvPr>
          <xdr:cNvSpPr/>
        </xdr:nvSpPr>
        <xdr:spPr>
          <a:xfrm>
            <a:off x="7814049" y="19221510"/>
            <a:ext cx="2201509" cy="532339"/>
          </a:xfrm>
          <a:prstGeom prst="roundRect">
            <a:avLst/>
          </a:prstGeom>
          <a:noFill/>
          <a:ln>
            <a:no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ctr"/>
            <a:r>
              <a:rPr lang="en-US" sz="1100" i="0">
                <a:solidFill>
                  <a:schemeClr val="bg1"/>
                </a:solidFill>
                <a:latin typeface="Roboto" panose="02000000000000000000" pitchFamily="2" charset="0"/>
                <a:ea typeface="Roboto" panose="02000000000000000000" pitchFamily="2" charset="0"/>
              </a:rPr>
              <a:t>Click to refer to the Invasive Species database</a:t>
            </a:r>
          </a:p>
        </xdr:txBody>
      </xdr:sp>
    </xdr:grpSp>
    <xdr:clientData/>
  </xdr:twoCellAnchor>
  <xdr:twoCellAnchor>
    <xdr:from>
      <xdr:col>22</xdr:col>
      <xdr:colOff>170090</xdr:colOff>
      <xdr:row>120</xdr:row>
      <xdr:rowOff>202747</xdr:rowOff>
    </xdr:from>
    <xdr:to>
      <xdr:col>23</xdr:col>
      <xdr:colOff>103415</xdr:colOff>
      <xdr:row>120</xdr:row>
      <xdr:rowOff>393247</xdr:rowOff>
    </xdr:to>
    <xdr:sp macro="" textlink="">
      <xdr:nvSpPr>
        <xdr:cNvPr id="59" name="Right Arrow 58">
          <a:extLst>
            <a:ext uri="{FF2B5EF4-FFF2-40B4-BE49-F238E27FC236}">
              <a16:creationId xmlns:a16="http://schemas.microsoft.com/office/drawing/2014/main" id="{00000000-0008-0000-0300-00003B000000}"/>
            </a:ext>
          </a:extLst>
        </xdr:cNvPr>
        <xdr:cNvSpPr/>
      </xdr:nvSpPr>
      <xdr:spPr>
        <a:xfrm>
          <a:off x="11450411" y="24042461"/>
          <a:ext cx="409575" cy="190500"/>
        </a:xfrm>
        <a:prstGeom prst="rightArrow">
          <a:avLst/>
        </a:prstGeom>
        <a:solidFill>
          <a:srgbClr val="5F6B6D"/>
        </a:solidFill>
        <a:ln>
          <a:solidFill>
            <a:srgbClr val="5F6B6D"/>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1102930</xdr:colOff>
      <xdr:row>13</xdr:row>
      <xdr:rowOff>135735</xdr:rowOff>
    </xdr:from>
    <xdr:to>
      <xdr:col>15</xdr:col>
      <xdr:colOff>101310</xdr:colOff>
      <xdr:row>15</xdr:row>
      <xdr:rowOff>7276</xdr:rowOff>
    </xdr:to>
    <xdr:grpSp>
      <xdr:nvGrpSpPr>
        <xdr:cNvPr id="60" name="Group 59">
          <a:hlinkClick xmlns:r="http://schemas.openxmlformats.org/officeDocument/2006/relationships" r:id="rId11"/>
          <a:extLst>
            <a:ext uri="{FF2B5EF4-FFF2-40B4-BE49-F238E27FC236}">
              <a16:creationId xmlns:a16="http://schemas.microsoft.com/office/drawing/2014/main" id="{00000000-0008-0000-0300-00003C000000}"/>
            </a:ext>
          </a:extLst>
        </xdr:cNvPr>
        <xdr:cNvGrpSpPr/>
      </xdr:nvGrpSpPr>
      <xdr:grpSpPr>
        <a:xfrm>
          <a:off x="8167305" y="2715423"/>
          <a:ext cx="236630" cy="316041"/>
          <a:chOff x="7814049" y="19167942"/>
          <a:chExt cx="2201509" cy="532340"/>
        </a:xfrm>
      </xdr:grpSpPr>
      <xdr:sp macro="" textlink="">
        <xdr:nvSpPr>
          <xdr:cNvPr id="61" name="Rounded Rectangle 60">
            <a:hlinkClick xmlns:r="http://schemas.openxmlformats.org/officeDocument/2006/relationships" r:id="rId7"/>
            <a:extLst>
              <a:ext uri="{FF2B5EF4-FFF2-40B4-BE49-F238E27FC236}">
                <a16:creationId xmlns:a16="http://schemas.microsoft.com/office/drawing/2014/main" id="{00000000-0008-0000-0300-00003D000000}"/>
              </a:ext>
            </a:extLst>
          </xdr:cNvPr>
          <xdr:cNvSpPr/>
        </xdr:nvSpPr>
        <xdr:spPr>
          <a:xfrm>
            <a:off x="7905750" y="19259550"/>
            <a:ext cx="2038350" cy="400050"/>
          </a:xfrm>
          <a:prstGeom prst="roundRect">
            <a:avLst/>
          </a:prstGeom>
          <a:solidFill>
            <a:srgbClr val="37464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latin typeface="Roboto" panose="02000000000000000000" pitchFamily="2" charset="0"/>
              <a:ea typeface="Roboto" panose="02000000000000000000" pitchFamily="2" charset="0"/>
            </a:endParaRPr>
          </a:p>
        </xdr:txBody>
      </xdr:sp>
      <xdr:sp macro="" textlink="">
        <xdr:nvSpPr>
          <xdr:cNvPr id="62" name="Rounded Rectangle 61">
            <a:hlinkClick xmlns:r="http://schemas.openxmlformats.org/officeDocument/2006/relationships" r:id="rId12"/>
            <a:extLst>
              <a:ext uri="{FF2B5EF4-FFF2-40B4-BE49-F238E27FC236}">
                <a16:creationId xmlns:a16="http://schemas.microsoft.com/office/drawing/2014/main" id="{00000000-0008-0000-0300-00003E000000}"/>
              </a:ext>
            </a:extLst>
          </xdr:cNvPr>
          <xdr:cNvSpPr/>
        </xdr:nvSpPr>
        <xdr:spPr>
          <a:xfrm>
            <a:off x="7814049" y="19167942"/>
            <a:ext cx="2201509" cy="532340"/>
          </a:xfrm>
          <a:prstGeom prst="roundRect">
            <a:avLst/>
          </a:prstGeom>
          <a:noFill/>
          <a:ln>
            <a:no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ctr"/>
            <a:r>
              <a:rPr lang="en-US" sz="1400" b="1" i="0">
                <a:solidFill>
                  <a:schemeClr val="bg1"/>
                </a:solidFill>
                <a:latin typeface="Roboto" panose="02000000000000000000" pitchFamily="2" charset="0"/>
                <a:ea typeface="Roboto" panose="02000000000000000000" pitchFamily="2" charset="0"/>
              </a:rPr>
              <a:t>?</a:t>
            </a:r>
            <a:endParaRPr lang="en-US" sz="1100" b="1" i="0">
              <a:solidFill>
                <a:schemeClr val="bg1"/>
              </a:solidFill>
              <a:latin typeface="Roboto" panose="02000000000000000000" pitchFamily="2" charset="0"/>
              <a:ea typeface="Roboto" panose="02000000000000000000" pitchFamily="2" charset="0"/>
            </a:endParaRPr>
          </a:p>
        </xdr:txBody>
      </xdr:sp>
    </xdr:grpSp>
    <xdr:clientData/>
  </xdr:twoCellAnchor>
  <xdr:twoCellAnchor>
    <xdr:from>
      <xdr:col>5</xdr:col>
      <xdr:colOff>113822</xdr:colOff>
      <xdr:row>14</xdr:row>
      <xdr:rowOff>42333</xdr:rowOff>
    </xdr:from>
    <xdr:to>
      <xdr:col>21</xdr:col>
      <xdr:colOff>457499</xdr:colOff>
      <xdr:row>14</xdr:row>
      <xdr:rowOff>235863</xdr:rowOff>
    </xdr:to>
    <xdr:sp macro="" textlink="">
      <xdr:nvSpPr>
        <xdr:cNvPr id="63" name="Rectangle 62">
          <a:hlinkClick xmlns:r="http://schemas.openxmlformats.org/officeDocument/2006/relationships" r:id="rId13"/>
          <a:extLst>
            <a:ext uri="{FF2B5EF4-FFF2-40B4-BE49-F238E27FC236}">
              <a16:creationId xmlns:a16="http://schemas.microsoft.com/office/drawing/2014/main" id="{00000000-0008-0000-0300-00003F000000}"/>
            </a:ext>
          </a:extLst>
        </xdr:cNvPr>
        <xdr:cNvSpPr/>
      </xdr:nvSpPr>
      <xdr:spPr>
        <a:xfrm>
          <a:off x="2569155" y="2899833"/>
          <a:ext cx="8704511" cy="19353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190500</xdr:colOff>
      <xdr:row>112</xdr:row>
      <xdr:rowOff>31237</xdr:rowOff>
    </xdr:from>
    <xdr:to>
      <xdr:col>6</xdr:col>
      <xdr:colOff>438150</xdr:colOff>
      <xdr:row>113</xdr:row>
      <xdr:rowOff>250369</xdr:rowOff>
    </xdr:to>
    <xdr:sp macro="" textlink="">
      <xdr:nvSpPr>
        <xdr:cNvPr id="68" name="Rounded Rectangle 67">
          <a:extLst>
            <a:ext uri="{FF2B5EF4-FFF2-40B4-BE49-F238E27FC236}">
              <a16:creationId xmlns:a16="http://schemas.microsoft.com/office/drawing/2014/main" id="{00000000-0008-0000-0300-000044000000}"/>
            </a:ext>
          </a:extLst>
        </xdr:cNvPr>
        <xdr:cNvSpPr/>
      </xdr:nvSpPr>
      <xdr:spPr>
        <a:xfrm>
          <a:off x="990600" y="19481287"/>
          <a:ext cx="2038350" cy="428682"/>
        </a:xfrm>
        <a:prstGeom prst="roundRect">
          <a:avLst/>
        </a:prstGeom>
        <a:solidFill>
          <a:srgbClr val="F2C80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104775</xdr:colOff>
      <xdr:row>111</xdr:row>
      <xdr:rowOff>161932</xdr:rowOff>
    </xdr:from>
    <xdr:to>
      <xdr:col>6</xdr:col>
      <xdr:colOff>504825</xdr:colOff>
      <xdr:row>113</xdr:row>
      <xdr:rowOff>313271</xdr:rowOff>
    </xdr:to>
    <xdr:sp macro="" textlink="">
      <xdr:nvSpPr>
        <xdr:cNvPr id="69" name="Rounded Rectangle 68">
          <a:hlinkClick xmlns:r="http://schemas.openxmlformats.org/officeDocument/2006/relationships" r:id="rId14"/>
          <a:extLst>
            <a:ext uri="{FF2B5EF4-FFF2-40B4-BE49-F238E27FC236}">
              <a16:creationId xmlns:a16="http://schemas.microsoft.com/office/drawing/2014/main" id="{00000000-0008-0000-0300-000045000000}"/>
            </a:ext>
          </a:extLst>
        </xdr:cNvPr>
        <xdr:cNvSpPr/>
      </xdr:nvSpPr>
      <xdr:spPr>
        <a:xfrm>
          <a:off x="904875" y="19402432"/>
          <a:ext cx="2190750" cy="570439"/>
        </a:xfrm>
        <a:prstGeom prst="roundRect">
          <a:avLst/>
        </a:prstGeom>
        <a:noFill/>
        <a:ln>
          <a:no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n-US" sz="1200" b="1" i="0">
              <a:solidFill>
                <a:sysClr val="windowText" lastClr="000000"/>
              </a:solidFill>
              <a:latin typeface="Roboto" panose="02000000000000000000" pitchFamily="2" charset="0"/>
              <a:ea typeface="Roboto" panose="02000000000000000000" pitchFamily="2" charset="0"/>
            </a:rPr>
            <a:t>Click for defintions</a:t>
          </a:r>
        </a:p>
      </xdr:txBody>
    </xdr:sp>
    <xdr:clientData/>
  </xdr:twoCellAnchor>
  <xdr:twoCellAnchor>
    <xdr:from>
      <xdr:col>10</xdr:col>
      <xdr:colOff>93280</xdr:colOff>
      <xdr:row>16</xdr:row>
      <xdr:rowOff>9525</xdr:rowOff>
    </xdr:from>
    <xdr:to>
      <xdr:col>10</xdr:col>
      <xdr:colOff>171450</xdr:colOff>
      <xdr:row>16</xdr:row>
      <xdr:rowOff>207301</xdr:rowOff>
    </xdr:to>
    <xdr:grpSp>
      <xdr:nvGrpSpPr>
        <xdr:cNvPr id="64" name="Group 63">
          <a:hlinkClick xmlns:r="http://schemas.openxmlformats.org/officeDocument/2006/relationships" r:id="rId11"/>
          <a:extLst>
            <a:ext uri="{FF2B5EF4-FFF2-40B4-BE49-F238E27FC236}">
              <a16:creationId xmlns:a16="http://schemas.microsoft.com/office/drawing/2014/main" id="{00000000-0008-0000-0300-000040000000}"/>
            </a:ext>
          </a:extLst>
        </xdr:cNvPr>
        <xdr:cNvGrpSpPr/>
      </xdr:nvGrpSpPr>
      <xdr:grpSpPr>
        <a:xfrm>
          <a:off x="5784468" y="3271838"/>
          <a:ext cx="78170" cy="197776"/>
          <a:chOff x="7814049" y="19167942"/>
          <a:chExt cx="2201509" cy="532340"/>
        </a:xfrm>
      </xdr:grpSpPr>
      <xdr:sp macro="" textlink="">
        <xdr:nvSpPr>
          <xdr:cNvPr id="65" name="Rounded Rectangle 64">
            <a:hlinkClick xmlns:r="http://schemas.openxmlformats.org/officeDocument/2006/relationships" r:id="rId7"/>
            <a:extLst>
              <a:ext uri="{FF2B5EF4-FFF2-40B4-BE49-F238E27FC236}">
                <a16:creationId xmlns:a16="http://schemas.microsoft.com/office/drawing/2014/main" id="{00000000-0008-0000-0300-000041000000}"/>
              </a:ext>
            </a:extLst>
          </xdr:cNvPr>
          <xdr:cNvSpPr/>
        </xdr:nvSpPr>
        <xdr:spPr>
          <a:xfrm>
            <a:off x="7905750" y="19259550"/>
            <a:ext cx="2038350" cy="400050"/>
          </a:xfrm>
          <a:prstGeom prst="roundRect">
            <a:avLst/>
          </a:prstGeom>
          <a:solidFill>
            <a:srgbClr val="37464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66" name="Rounded Rectangle 65">
            <a:hlinkClick xmlns:r="http://schemas.openxmlformats.org/officeDocument/2006/relationships" r:id="rId15"/>
            <a:extLst>
              <a:ext uri="{FF2B5EF4-FFF2-40B4-BE49-F238E27FC236}">
                <a16:creationId xmlns:a16="http://schemas.microsoft.com/office/drawing/2014/main" id="{00000000-0008-0000-0300-000042000000}"/>
              </a:ext>
            </a:extLst>
          </xdr:cNvPr>
          <xdr:cNvSpPr/>
        </xdr:nvSpPr>
        <xdr:spPr>
          <a:xfrm>
            <a:off x="7814049" y="19167942"/>
            <a:ext cx="2201509" cy="532340"/>
          </a:xfrm>
          <a:prstGeom prst="roundRect">
            <a:avLst/>
          </a:prstGeom>
          <a:noFill/>
          <a:ln>
            <a:no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ctr"/>
            <a:r>
              <a:rPr lang="en-US" sz="800" b="1" i="0">
                <a:solidFill>
                  <a:schemeClr val="bg1"/>
                </a:solidFill>
                <a:latin typeface="Century Gothic" panose="020B0502020202020204" pitchFamily="34" charset="0"/>
              </a:rPr>
              <a:t>?</a:t>
            </a:r>
            <a:endParaRPr lang="en-US" sz="1100" b="1" i="0">
              <a:solidFill>
                <a:schemeClr val="bg1"/>
              </a:solidFill>
              <a:latin typeface="Century Gothic" panose="020B0502020202020204" pitchFamily="34" charset="0"/>
            </a:endParaRPr>
          </a:p>
        </xdr:txBody>
      </xdr:sp>
    </xdr:grpSp>
    <xdr:clientData/>
  </xdr:twoCellAnchor>
  <xdr:twoCellAnchor>
    <xdr:from>
      <xdr:col>54</xdr:col>
      <xdr:colOff>385746</xdr:colOff>
      <xdr:row>17</xdr:row>
      <xdr:rowOff>28573</xdr:rowOff>
    </xdr:from>
    <xdr:to>
      <xdr:col>54</xdr:col>
      <xdr:colOff>1004861</xdr:colOff>
      <xdr:row>47</xdr:row>
      <xdr:rowOff>19049</xdr:rowOff>
    </xdr:to>
    <xdr:grpSp>
      <xdr:nvGrpSpPr>
        <xdr:cNvPr id="67" name="Group 66">
          <a:extLst>
            <a:ext uri="{FF2B5EF4-FFF2-40B4-BE49-F238E27FC236}">
              <a16:creationId xmlns:a16="http://schemas.microsoft.com/office/drawing/2014/main" id="{00000000-0008-0000-0300-000043000000}"/>
            </a:ext>
          </a:extLst>
        </xdr:cNvPr>
        <xdr:cNvGrpSpPr/>
      </xdr:nvGrpSpPr>
      <xdr:grpSpPr>
        <a:xfrm>
          <a:off x="19911996" y="3497261"/>
          <a:ext cx="619115" cy="6181726"/>
          <a:chOff x="4398532" y="2457448"/>
          <a:chExt cx="944993" cy="4152901"/>
        </a:xfrm>
      </xdr:grpSpPr>
      <xdr:sp macro="" textlink="">
        <xdr:nvSpPr>
          <xdr:cNvPr id="70" name="Rectangle 69">
            <a:extLst>
              <a:ext uri="{FF2B5EF4-FFF2-40B4-BE49-F238E27FC236}">
                <a16:creationId xmlns:a16="http://schemas.microsoft.com/office/drawing/2014/main" id="{00000000-0008-0000-0300-000046000000}"/>
              </a:ext>
            </a:extLst>
          </xdr:cNvPr>
          <xdr:cNvSpPr/>
        </xdr:nvSpPr>
        <xdr:spPr>
          <a:xfrm rot="5400000" flipH="1">
            <a:off x="2679267" y="4176713"/>
            <a:ext cx="4152901" cy="714372"/>
          </a:xfrm>
          <a:prstGeom prst="rect">
            <a:avLst/>
          </a:prstGeom>
          <a:solidFill>
            <a:srgbClr val="F2F2F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0">
                <a:solidFill>
                  <a:sysClr val="windowText" lastClr="000000"/>
                </a:solidFill>
                <a:latin typeface="Roboto" panose="02000000000000000000" pitchFamily="2" charset="0"/>
                <a:ea typeface="Roboto" panose="02000000000000000000" pitchFamily="2" charset="0"/>
              </a:rPr>
              <a:t>Pressure 2: Infrastructure</a:t>
            </a:r>
          </a:p>
        </xdr:txBody>
      </xdr:sp>
      <xdr:sp macro="" textlink="">
        <xdr:nvSpPr>
          <xdr:cNvPr id="71" name="Isosceles Triangle 70">
            <a:extLst>
              <a:ext uri="{FF2B5EF4-FFF2-40B4-BE49-F238E27FC236}">
                <a16:creationId xmlns:a16="http://schemas.microsoft.com/office/drawing/2014/main" id="{00000000-0008-0000-0300-000047000000}"/>
              </a:ext>
            </a:extLst>
          </xdr:cNvPr>
          <xdr:cNvSpPr/>
        </xdr:nvSpPr>
        <xdr:spPr>
          <a:xfrm rot="5400000">
            <a:off x="3145635" y="4355312"/>
            <a:ext cx="4067169" cy="328610"/>
          </a:xfrm>
          <a:prstGeom prst="triangle">
            <a:avLst>
              <a:gd name="adj" fmla="val 51168"/>
            </a:avLst>
          </a:prstGeom>
          <a:solidFill>
            <a:srgbClr val="F2C80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58</xdr:col>
      <xdr:colOff>147411</xdr:colOff>
      <xdr:row>17</xdr:row>
      <xdr:rowOff>0</xdr:rowOff>
    </xdr:from>
    <xdr:to>
      <xdr:col>58</xdr:col>
      <xdr:colOff>766526</xdr:colOff>
      <xdr:row>46</xdr:row>
      <xdr:rowOff>194583</xdr:rowOff>
    </xdr:to>
    <xdr:grpSp>
      <xdr:nvGrpSpPr>
        <xdr:cNvPr id="72" name="Group 71">
          <a:extLst>
            <a:ext uri="{FF2B5EF4-FFF2-40B4-BE49-F238E27FC236}">
              <a16:creationId xmlns:a16="http://schemas.microsoft.com/office/drawing/2014/main" id="{00000000-0008-0000-0300-000048000000}"/>
            </a:ext>
          </a:extLst>
        </xdr:cNvPr>
        <xdr:cNvGrpSpPr/>
      </xdr:nvGrpSpPr>
      <xdr:grpSpPr>
        <a:xfrm>
          <a:off x="23610661" y="3468688"/>
          <a:ext cx="619115" cy="6179458"/>
          <a:chOff x="4398532" y="2457448"/>
          <a:chExt cx="944993" cy="4152901"/>
        </a:xfrm>
      </xdr:grpSpPr>
      <xdr:sp macro="" textlink="">
        <xdr:nvSpPr>
          <xdr:cNvPr id="73" name="Rectangle 72">
            <a:extLst>
              <a:ext uri="{FF2B5EF4-FFF2-40B4-BE49-F238E27FC236}">
                <a16:creationId xmlns:a16="http://schemas.microsoft.com/office/drawing/2014/main" id="{00000000-0008-0000-0300-000049000000}"/>
              </a:ext>
            </a:extLst>
          </xdr:cNvPr>
          <xdr:cNvSpPr/>
        </xdr:nvSpPr>
        <xdr:spPr>
          <a:xfrm rot="5400000" flipH="1">
            <a:off x="2679267" y="4176713"/>
            <a:ext cx="4152901" cy="714372"/>
          </a:xfrm>
          <a:prstGeom prst="rect">
            <a:avLst/>
          </a:prstGeom>
          <a:solidFill>
            <a:srgbClr val="F2F2F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0">
                <a:solidFill>
                  <a:sysClr val="windowText" lastClr="000000"/>
                </a:solidFill>
                <a:latin typeface="Roboto" panose="02000000000000000000" pitchFamily="2" charset="0"/>
                <a:ea typeface="Roboto" panose="02000000000000000000" pitchFamily="2" charset="0"/>
              </a:rPr>
              <a:t>Pressure 3: Fragmentation</a:t>
            </a:r>
          </a:p>
        </xdr:txBody>
      </xdr:sp>
      <xdr:sp macro="" textlink="">
        <xdr:nvSpPr>
          <xdr:cNvPr id="74" name="Isosceles Triangle 73">
            <a:extLst>
              <a:ext uri="{FF2B5EF4-FFF2-40B4-BE49-F238E27FC236}">
                <a16:creationId xmlns:a16="http://schemas.microsoft.com/office/drawing/2014/main" id="{00000000-0008-0000-0300-00004A000000}"/>
              </a:ext>
            </a:extLst>
          </xdr:cNvPr>
          <xdr:cNvSpPr/>
        </xdr:nvSpPr>
        <xdr:spPr>
          <a:xfrm rot="5400000">
            <a:off x="3145635" y="4355312"/>
            <a:ext cx="4067169" cy="328610"/>
          </a:xfrm>
          <a:prstGeom prst="triangle">
            <a:avLst>
              <a:gd name="adj" fmla="val 51168"/>
            </a:avLst>
          </a:prstGeom>
          <a:solidFill>
            <a:srgbClr val="F2C80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18</xdr:col>
      <xdr:colOff>93280</xdr:colOff>
      <xdr:row>16</xdr:row>
      <xdr:rowOff>9525</xdr:rowOff>
    </xdr:from>
    <xdr:to>
      <xdr:col>18</xdr:col>
      <xdr:colOff>171450</xdr:colOff>
      <xdr:row>16</xdr:row>
      <xdr:rowOff>207301</xdr:rowOff>
    </xdr:to>
    <xdr:grpSp>
      <xdr:nvGrpSpPr>
        <xdr:cNvPr id="75" name="Group 74">
          <a:hlinkClick xmlns:r="http://schemas.openxmlformats.org/officeDocument/2006/relationships" r:id="rId11"/>
          <a:extLst>
            <a:ext uri="{FF2B5EF4-FFF2-40B4-BE49-F238E27FC236}">
              <a16:creationId xmlns:a16="http://schemas.microsoft.com/office/drawing/2014/main" id="{00000000-0008-0000-0300-00004B000000}"/>
            </a:ext>
          </a:extLst>
        </xdr:cNvPr>
        <xdr:cNvGrpSpPr/>
      </xdr:nvGrpSpPr>
      <xdr:grpSpPr>
        <a:xfrm>
          <a:off x="10142155" y="3271838"/>
          <a:ext cx="78170" cy="197776"/>
          <a:chOff x="7814049" y="19167942"/>
          <a:chExt cx="2201509" cy="532340"/>
        </a:xfrm>
      </xdr:grpSpPr>
      <xdr:sp macro="" textlink="">
        <xdr:nvSpPr>
          <xdr:cNvPr id="76" name="Rounded Rectangle 75">
            <a:hlinkClick xmlns:r="http://schemas.openxmlformats.org/officeDocument/2006/relationships" r:id="rId7"/>
            <a:extLst>
              <a:ext uri="{FF2B5EF4-FFF2-40B4-BE49-F238E27FC236}">
                <a16:creationId xmlns:a16="http://schemas.microsoft.com/office/drawing/2014/main" id="{00000000-0008-0000-0300-00004C000000}"/>
              </a:ext>
            </a:extLst>
          </xdr:cNvPr>
          <xdr:cNvSpPr/>
        </xdr:nvSpPr>
        <xdr:spPr>
          <a:xfrm>
            <a:off x="7905750" y="19259550"/>
            <a:ext cx="2038350" cy="400050"/>
          </a:xfrm>
          <a:prstGeom prst="roundRect">
            <a:avLst/>
          </a:prstGeom>
          <a:solidFill>
            <a:srgbClr val="37464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77" name="Rounded Rectangle 76">
            <a:hlinkClick xmlns:r="http://schemas.openxmlformats.org/officeDocument/2006/relationships" r:id="rId15"/>
            <a:extLst>
              <a:ext uri="{FF2B5EF4-FFF2-40B4-BE49-F238E27FC236}">
                <a16:creationId xmlns:a16="http://schemas.microsoft.com/office/drawing/2014/main" id="{00000000-0008-0000-0300-00004D000000}"/>
              </a:ext>
            </a:extLst>
          </xdr:cNvPr>
          <xdr:cNvSpPr/>
        </xdr:nvSpPr>
        <xdr:spPr>
          <a:xfrm>
            <a:off x="7814049" y="19167942"/>
            <a:ext cx="2201509" cy="532340"/>
          </a:xfrm>
          <a:prstGeom prst="roundRect">
            <a:avLst/>
          </a:prstGeom>
          <a:noFill/>
          <a:ln>
            <a:no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ctr"/>
            <a:r>
              <a:rPr lang="en-US" sz="800" b="1" i="0">
                <a:solidFill>
                  <a:schemeClr val="bg1"/>
                </a:solidFill>
                <a:latin typeface="Century Gothic" panose="020B0502020202020204" pitchFamily="34" charset="0"/>
              </a:rPr>
              <a:t>?</a:t>
            </a:r>
            <a:endParaRPr lang="en-US" sz="1100" b="1" i="0">
              <a:solidFill>
                <a:schemeClr val="bg1"/>
              </a:solidFill>
              <a:latin typeface="Century Gothic" panose="020B0502020202020204" pitchFamily="34" charset="0"/>
            </a:endParaRPr>
          </a:p>
        </xdr:txBody>
      </xdr:sp>
    </xdr:grpSp>
    <xdr:clientData/>
  </xdr:twoCellAnchor>
  <xdr:twoCellAnchor>
    <xdr:from>
      <xdr:col>22</xdr:col>
      <xdr:colOff>299356</xdr:colOff>
      <xdr:row>16</xdr:row>
      <xdr:rowOff>134321</xdr:rowOff>
    </xdr:from>
    <xdr:to>
      <xdr:col>37</xdr:col>
      <xdr:colOff>108858</xdr:colOff>
      <xdr:row>47</xdr:row>
      <xdr:rowOff>66238</xdr:rowOff>
    </xdr:to>
    <mc:AlternateContent xmlns:mc="http://schemas.openxmlformats.org/markup-compatibility/2006">
      <mc:Choice xmlns:cx1="http://schemas.microsoft.com/office/drawing/2015/9/8/chartex" Requires="cx1">
        <xdr:graphicFrame macro="">
          <xdr:nvGraphicFramePr>
            <xdr:cNvPr id="80" name="Chart 79">
              <a:extLst>
                <a:ext uri="{FF2B5EF4-FFF2-40B4-BE49-F238E27FC236}">
                  <a16:creationId xmlns:a16="http://schemas.microsoft.com/office/drawing/2014/main" id="{00000000-0008-0000-0300-000050000000}"/>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6"/>
            </a:graphicData>
          </a:graphic>
        </xdr:graphicFrame>
      </mc:Choice>
      <mc:Fallback>
        <xdr:sp macro="" textlink="">
          <xdr:nvSpPr>
            <xdr:cNvPr id="0" name=""/>
            <xdr:cNvSpPr>
              <a:spLocks noTextEdit="1"/>
            </xdr:cNvSpPr>
          </xdr:nvSpPr>
          <xdr:spPr>
            <a:xfrm>
              <a:off x="12091306" y="3417271"/>
              <a:ext cx="3067052" cy="6427967"/>
            </a:xfrm>
            <a:prstGeom prst="rect">
              <a:avLst/>
            </a:prstGeom>
            <a:solidFill>
              <a:prstClr val="white"/>
            </a:solidFill>
            <a:ln w="1">
              <a:solidFill>
                <a:prstClr val="green"/>
              </a:solidFill>
            </a:ln>
          </xdr:spPr>
          <xdr:txBody>
            <a:bodyPr vertOverflow="clip" horzOverflow="clip"/>
            <a:lstStyle/>
            <a:p>
              <a:r>
                <a:rPr lang="en-GB"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37</xdr:col>
      <xdr:colOff>83013</xdr:colOff>
      <xdr:row>16</xdr:row>
      <xdr:rowOff>133410</xdr:rowOff>
    </xdr:from>
    <xdr:to>
      <xdr:col>53</xdr:col>
      <xdr:colOff>0</xdr:colOff>
      <xdr:row>47</xdr:row>
      <xdr:rowOff>67149</xdr:rowOff>
    </xdr:to>
    <mc:AlternateContent xmlns:mc="http://schemas.openxmlformats.org/markup-compatibility/2006">
      <mc:Choice xmlns:cx1="http://schemas.microsoft.com/office/drawing/2015/9/8/chartex" Requires="cx1">
        <xdr:graphicFrame macro="">
          <xdr:nvGraphicFramePr>
            <xdr:cNvPr id="81" name="Chart 80">
              <a:extLst>
                <a:ext uri="{FF2B5EF4-FFF2-40B4-BE49-F238E27FC236}">
                  <a16:creationId xmlns:a16="http://schemas.microsoft.com/office/drawing/2014/main" id="{00000000-0008-0000-0300-000051000000}"/>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7"/>
            </a:graphicData>
          </a:graphic>
        </xdr:graphicFrame>
      </mc:Choice>
      <mc:Fallback>
        <xdr:sp macro="" textlink="">
          <xdr:nvSpPr>
            <xdr:cNvPr id="0" name=""/>
            <xdr:cNvSpPr>
              <a:spLocks noTextEdit="1"/>
            </xdr:cNvSpPr>
          </xdr:nvSpPr>
          <xdr:spPr>
            <a:xfrm>
              <a:off x="15132513" y="3416360"/>
              <a:ext cx="3066587" cy="6429789"/>
            </a:xfrm>
            <a:prstGeom prst="rect">
              <a:avLst/>
            </a:prstGeom>
            <a:solidFill>
              <a:prstClr val="white"/>
            </a:solidFill>
            <a:ln w="1">
              <a:solidFill>
                <a:prstClr val="green"/>
              </a:solidFill>
            </a:ln>
          </xdr:spPr>
          <xdr:txBody>
            <a:bodyPr vertOverflow="clip" horzOverflow="clip"/>
            <a:lstStyle/>
            <a:p>
              <a:r>
                <a:rPr lang="en-GB"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22</xdr:col>
      <xdr:colOff>358589</xdr:colOff>
      <xdr:row>16</xdr:row>
      <xdr:rowOff>134470</xdr:rowOff>
    </xdr:from>
    <xdr:to>
      <xdr:col>37</xdr:col>
      <xdr:colOff>179294</xdr:colOff>
      <xdr:row>47</xdr:row>
      <xdr:rowOff>67234</xdr:rowOff>
    </xdr:to>
    <mc:AlternateContent xmlns:mc="http://schemas.openxmlformats.org/markup-compatibility/2006">
      <mc:Choice xmlns:cx1="http://schemas.microsoft.com/office/drawing/2015/9/8/chartex" Requires="cx1">
        <xdr:graphicFrame macro="">
          <xdr:nvGraphicFramePr>
            <xdr:cNvPr id="84" name="Chart 83">
              <a:extLst>
                <a:ext uri="{FF2B5EF4-FFF2-40B4-BE49-F238E27FC236}">
                  <a16:creationId xmlns:a16="http://schemas.microsoft.com/office/drawing/2014/main" id="{00000000-0008-0000-0300-000054000000}"/>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8"/>
            </a:graphicData>
          </a:graphic>
        </xdr:graphicFrame>
      </mc:Choice>
      <mc:Fallback>
        <xdr:sp macro="" textlink="">
          <xdr:nvSpPr>
            <xdr:cNvPr id="0" name=""/>
            <xdr:cNvSpPr>
              <a:spLocks noTextEdit="1"/>
            </xdr:cNvSpPr>
          </xdr:nvSpPr>
          <xdr:spPr>
            <a:xfrm>
              <a:off x="12150539" y="3417420"/>
              <a:ext cx="3078255" cy="6428814"/>
            </a:xfrm>
            <a:prstGeom prst="rect">
              <a:avLst/>
            </a:prstGeom>
            <a:solidFill>
              <a:prstClr val="white"/>
            </a:solidFill>
            <a:ln w="1">
              <a:solidFill>
                <a:prstClr val="green"/>
              </a:solidFill>
            </a:ln>
          </xdr:spPr>
          <xdr:txBody>
            <a:bodyPr vertOverflow="clip" horzOverflow="clip"/>
            <a:lstStyle/>
            <a:p>
              <a:r>
                <a:rPr lang="en-GB"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37</xdr:col>
      <xdr:colOff>171290</xdr:colOff>
      <xdr:row>16</xdr:row>
      <xdr:rowOff>134469</xdr:rowOff>
    </xdr:from>
    <xdr:to>
      <xdr:col>53</xdr:col>
      <xdr:colOff>81643</xdr:colOff>
      <xdr:row>47</xdr:row>
      <xdr:rowOff>76200</xdr:rowOff>
    </xdr:to>
    <mc:AlternateContent xmlns:mc="http://schemas.openxmlformats.org/markup-compatibility/2006">
      <mc:Choice xmlns:cx1="http://schemas.microsoft.com/office/drawing/2015/9/8/chartex" Requires="cx1">
        <xdr:graphicFrame macro="">
          <xdr:nvGraphicFramePr>
            <xdr:cNvPr id="85" name="Chart 84">
              <a:extLst>
                <a:ext uri="{FF2B5EF4-FFF2-40B4-BE49-F238E27FC236}">
                  <a16:creationId xmlns:a16="http://schemas.microsoft.com/office/drawing/2014/main" id="{00000000-0008-0000-0300-000055000000}"/>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9"/>
            </a:graphicData>
          </a:graphic>
        </xdr:graphicFrame>
      </mc:Choice>
      <mc:Fallback>
        <xdr:sp macro="" textlink="">
          <xdr:nvSpPr>
            <xdr:cNvPr id="0" name=""/>
            <xdr:cNvSpPr>
              <a:spLocks noTextEdit="1"/>
            </xdr:cNvSpPr>
          </xdr:nvSpPr>
          <xdr:spPr>
            <a:xfrm>
              <a:off x="15220790" y="3417419"/>
              <a:ext cx="3059953" cy="6437781"/>
            </a:xfrm>
            <a:prstGeom prst="rect">
              <a:avLst/>
            </a:prstGeom>
            <a:solidFill>
              <a:prstClr val="white"/>
            </a:solidFill>
            <a:ln w="1">
              <a:solidFill>
                <a:prstClr val="green"/>
              </a:solidFill>
            </a:ln>
          </xdr:spPr>
          <xdr:txBody>
            <a:bodyPr vertOverflow="clip" horzOverflow="clip"/>
            <a:lstStyle/>
            <a:p>
              <a:r>
                <a:rPr lang="en-GB"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2</xdr:col>
      <xdr:colOff>58795</xdr:colOff>
      <xdr:row>99</xdr:row>
      <xdr:rowOff>70557</xdr:rowOff>
    </xdr:from>
    <xdr:to>
      <xdr:col>3</xdr:col>
      <xdr:colOff>717314</xdr:colOff>
      <xdr:row>106</xdr:row>
      <xdr:rowOff>164631</xdr:rowOff>
    </xdr:to>
    <xdr:grpSp>
      <xdr:nvGrpSpPr>
        <xdr:cNvPr id="82" name="Group 81">
          <a:extLst>
            <a:ext uri="{FF2B5EF4-FFF2-40B4-BE49-F238E27FC236}">
              <a16:creationId xmlns:a16="http://schemas.microsoft.com/office/drawing/2014/main" id="{D26B4F6C-DC78-4415-8944-592B8047F944}"/>
            </a:ext>
          </a:extLst>
        </xdr:cNvPr>
        <xdr:cNvGrpSpPr/>
      </xdr:nvGrpSpPr>
      <xdr:grpSpPr>
        <a:xfrm>
          <a:off x="892233" y="13238870"/>
          <a:ext cx="880769" cy="1538699"/>
          <a:chOff x="3459199" y="2457446"/>
          <a:chExt cx="1884326" cy="4152901"/>
        </a:xfrm>
      </xdr:grpSpPr>
      <xdr:sp macro="" textlink="">
        <xdr:nvSpPr>
          <xdr:cNvPr id="83" name="Rectangle 82">
            <a:extLst>
              <a:ext uri="{FF2B5EF4-FFF2-40B4-BE49-F238E27FC236}">
                <a16:creationId xmlns:a16="http://schemas.microsoft.com/office/drawing/2014/main" id="{F5DE50C4-E8A2-429F-9481-EF0890B9E0FF}"/>
              </a:ext>
            </a:extLst>
          </xdr:cNvPr>
          <xdr:cNvSpPr/>
        </xdr:nvSpPr>
        <xdr:spPr>
          <a:xfrm rot="5400000" flipH="1">
            <a:off x="2209601" y="3707044"/>
            <a:ext cx="4152901" cy="1653706"/>
          </a:xfrm>
          <a:prstGeom prst="rect">
            <a:avLst/>
          </a:prstGeom>
          <a:solidFill>
            <a:srgbClr val="F2F2F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0">
                <a:solidFill>
                  <a:sysClr val="windowText" lastClr="000000"/>
                </a:solidFill>
                <a:latin typeface="Century Gothic" panose="020B0502020202020204" pitchFamily="34" charset="0"/>
              </a:rPr>
              <a:t>Tier 2</a:t>
            </a:r>
          </a:p>
        </xdr:txBody>
      </xdr:sp>
      <xdr:sp macro="" textlink="">
        <xdr:nvSpPr>
          <xdr:cNvPr id="86" name="Isosceles Triangle 85">
            <a:extLst>
              <a:ext uri="{FF2B5EF4-FFF2-40B4-BE49-F238E27FC236}">
                <a16:creationId xmlns:a16="http://schemas.microsoft.com/office/drawing/2014/main" id="{4BB460D2-B4B7-4367-88C7-B84FC95846B0}"/>
              </a:ext>
            </a:extLst>
          </xdr:cNvPr>
          <xdr:cNvSpPr/>
        </xdr:nvSpPr>
        <xdr:spPr>
          <a:xfrm rot="5400000">
            <a:off x="3145635" y="4355312"/>
            <a:ext cx="4067169" cy="328610"/>
          </a:xfrm>
          <a:prstGeom prst="triangle">
            <a:avLst>
              <a:gd name="adj" fmla="val 51168"/>
            </a:avLst>
          </a:prstGeom>
          <a:solidFill>
            <a:srgbClr val="F2C80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0</xdr:col>
      <xdr:colOff>109754</xdr:colOff>
      <xdr:row>0</xdr:row>
      <xdr:rowOff>50014</xdr:rowOff>
    </xdr:from>
    <xdr:to>
      <xdr:col>22</xdr:col>
      <xdr:colOff>429123</xdr:colOff>
      <xdr:row>3</xdr:row>
      <xdr:rowOff>77173</xdr:rowOff>
    </xdr:to>
    <xdr:grpSp>
      <xdr:nvGrpSpPr>
        <xdr:cNvPr id="98" name="Group 97">
          <a:extLst>
            <a:ext uri="{FF2B5EF4-FFF2-40B4-BE49-F238E27FC236}">
              <a16:creationId xmlns:a16="http://schemas.microsoft.com/office/drawing/2014/main" id="{BF9A826E-71BB-4B2A-B163-CDE77B2324CA}"/>
            </a:ext>
          </a:extLst>
        </xdr:cNvPr>
        <xdr:cNvGrpSpPr/>
      </xdr:nvGrpSpPr>
      <xdr:grpSpPr>
        <a:xfrm>
          <a:off x="109754" y="50014"/>
          <a:ext cx="12098619" cy="598659"/>
          <a:chOff x="110558" y="59439"/>
          <a:chExt cx="12037076" cy="593063"/>
        </a:xfrm>
      </xdr:grpSpPr>
      <xdr:pic>
        <xdr:nvPicPr>
          <xdr:cNvPr id="99" name="Picture 98">
            <a:extLst>
              <a:ext uri="{FF2B5EF4-FFF2-40B4-BE49-F238E27FC236}">
                <a16:creationId xmlns:a16="http://schemas.microsoft.com/office/drawing/2014/main" id="{785CBCA8-0891-492F-9CC6-010F6E04367D}"/>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110558" y="97368"/>
            <a:ext cx="2405019" cy="507844"/>
          </a:xfrm>
          <a:prstGeom prst="rect">
            <a:avLst/>
          </a:prstGeom>
        </xdr:spPr>
      </xdr:pic>
      <xdr:grpSp>
        <xdr:nvGrpSpPr>
          <xdr:cNvPr id="100" name="Group 99">
            <a:extLst>
              <a:ext uri="{FF2B5EF4-FFF2-40B4-BE49-F238E27FC236}">
                <a16:creationId xmlns:a16="http://schemas.microsoft.com/office/drawing/2014/main" id="{78D95324-B2C0-4EA5-9562-9E5C52026E27}"/>
              </a:ext>
            </a:extLst>
          </xdr:cNvPr>
          <xdr:cNvGrpSpPr/>
        </xdr:nvGrpSpPr>
        <xdr:grpSpPr>
          <a:xfrm>
            <a:off x="2864782" y="59439"/>
            <a:ext cx="9282852" cy="593063"/>
            <a:chOff x="2864782" y="59439"/>
            <a:chExt cx="9282852" cy="659235"/>
          </a:xfrm>
        </xdr:grpSpPr>
        <xdr:sp macro="" textlink="">
          <xdr:nvSpPr>
            <xdr:cNvPr id="101" name="TextBox 100">
              <a:extLst>
                <a:ext uri="{FF2B5EF4-FFF2-40B4-BE49-F238E27FC236}">
                  <a16:creationId xmlns:a16="http://schemas.microsoft.com/office/drawing/2014/main" id="{6CD1FBB1-26A3-4496-95B7-447CC4433046}"/>
                </a:ext>
              </a:extLst>
            </xdr:cNvPr>
            <xdr:cNvSpPr txBox="1"/>
          </xdr:nvSpPr>
          <xdr:spPr>
            <a:xfrm>
              <a:off x="2864782" y="59439"/>
              <a:ext cx="9268850" cy="5528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b="1">
                  <a:solidFill>
                    <a:schemeClr val="bg1"/>
                  </a:solidFill>
                  <a:latin typeface="Roboto" panose="02000000000000000000" pitchFamily="2" charset="0"/>
                  <a:ea typeface="Roboto" panose="02000000000000000000" pitchFamily="2" charset="0"/>
                </a:rPr>
                <a:t>B-INTACT</a:t>
              </a:r>
            </a:p>
          </xdr:txBody>
        </xdr:sp>
        <xdr:sp macro="" textlink="">
          <xdr:nvSpPr>
            <xdr:cNvPr id="102" name="TextBox 101">
              <a:extLst>
                <a:ext uri="{FF2B5EF4-FFF2-40B4-BE49-F238E27FC236}">
                  <a16:creationId xmlns:a16="http://schemas.microsoft.com/office/drawing/2014/main" id="{C8B1BD21-F1A2-429E-9116-8E5A8F5A3F46}"/>
                </a:ext>
              </a:extLst>
            </xdr:cNvPr>
            <xdr:cNvSpPr txBox="1"/>
          </xdr:nvSpPr>
          <xdr:spPr>
            <a:xfrm>
              <a:off x="2878784" y="401346"/>
              <a:ext cx="9268850" cy="3173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0">
                  <a:solidFill>
                    <a:schemeClr val="bg1"/>
                  </a:solidFill>
                  <a:latin typeface="Roboto light" panose="02000000000000000000" pitchFamily="2" charset="0"/>
                  <a:ea typeface="Roboto light" panose="02000000000000000000" pitchFamily="2" charset="0"/>
                </a:rPr>
                <a:t>Biodiversity Integrated</a:t>
              </a:r>
              <a:r>
                <a:rPr lang="en-US" sz="1400" b="0" baseline="0">
                  <a:solidFill>
                    <a:schemeClr val="bg1"/>
                  </a:solidFill>
                  <a:latin typeface="Roboto light" panose="02000000000000000000" pitchFamily="2" charset="0"/>
                  <a:ea typeface="Roboto light" panose="02000000000000000000" pitchFamily="2" charset="0"/>
                </a:rPr>
                <a:t> Assessment and Computation Tool</a:t>
              </a:r>
              <a:endParaRPr lang="en-US" sz="1400" b="0">
                <a:solidFill>
                  <a:schemeClr val="bg1"/>
                </a:solidFill>
                <a:latin typeface="Roboto light" panose="02000000000000000000" pitchFamily="2" charset="0"/>
                <a:ea typeface="Roboto light" panose="02000000000000000000" pitchFamily="2" charset="0"/>
              </a:endParaRPr>
            </a:p>
          </xdr:txBody>
        </xdr:sp>
      </xdr:grpSp>
    </xdr:grp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395287</xdr:colOff>
      <xdr:row>44</xdr:row>
      <xdr:rowOff>66674</xdr:rowOff>
    </xdr:from>
    <xdr:to>
      <xdr:col>9</xdr:col>
      <xdr:colOff>304800</xdr:colOff>
      <xdr:row>75</xdr:row>
      <xdr:rowOff>38100</xdr:rowOff>
    </xdr:to>
    <mc:AlternateContent xmlns:mc="http://schemas.openxmlformats.org/markup-compatibility/2006">
      <mc:Choice xmlns:cx1="http://schemas.microsoft.com/office/drawing/2015/9/8/chartex" Requires="cx1">
        <xdr:graphicFrame macro="">
          <xdr:nvGraphicFramePr>
            <xdr:cNvPr id="3" name="Chart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3443287" y="7051674"/>
              <a:ext cx="2379663" cy="4892676"/>
            </a:xfrm>
            <a:prstGeom prst="rect">
              <a:avLst/>
            </a:prstGeom>
            <a:solidFill>
              <a:prstClr val="white"/>
            </a:solidFill>
            <a:ln w="1">
              <a:solidFill>
                <a:prstClr val="green"/>
              </a:solidFill>
            </a:ln>
          </xdr:spPr>
          <xdr:txBody>
            <a:bodyPr vertOverflow="clip" horzOverflow="clip"/>
            <a:lstStyle/>
            <a:p>
              <a:r>
                <a:rPr lang="en-GB"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15</xdr:col>
      <xdr:colOff>85725</xdr:colOff>
      <xdr:row>2</xdr:row>
      <xdr:rowOff>152400</xdr:rowOff>
    </xdr:from>
    <xdr:to>
      <xdr:col>21</xdr:col>
      <xdr:colOff>76200</xdr:colOff>
      <xdr:row>39</xdr:row>
      <xdr:rowOff>114300</xdr:rowOff>
    </xdr:to>
    <mc:AlternateContent xmlns:mc="http://schemas.openxmlformats.org/markup-compatibility/2006">
      <mc:Choice xmlns:cx1="http://schemas.microsoft.com/office/drawing/2015/9/8/chartex" Requires="cx1">
        <xdr:graphicFrame macro="">
          <xdr:nvGraphicFramePr>
            <xdr:cNvPr id="7" name="Chart 6">
              <a:extLst>
                <a:ext uri="{FF2B5EF4-FFF2-40B4-BE49-F238E27FC236}">
                  <a16:creationId xmlns:a16="http://schemas.microsoft.com/office/drawing/2014/main" id="{00000000-0008-0000-0600-000007000000}"/>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9439275" y="469900"/>
              <a:ext cx="3648075" cy="5835650"/>
            </a:xfrm>
            <a:prstGeom prst="rect">
              <a:avLst/>
            </a:prstGeom>
            <a:solidFill>
              <a:prstClr val="white"/>
            </a:solidFill>
            <a:ln w="1">
              <a:solidFill>
                <a:prstClr val="green"/>
              </a:solidFill>
            </a:ln>
          </xdr:spPr>
          <xdr:txBody>
            <a:bodyPr vertOverflow="clip" horzOverflow="clip"/>
            <a:lstStyle/>
            <a:p>
              <a:r>
                <a:rPr lang="en-GB" sz="1100"/>
                <a:t>This chart isn't available in your version of Excel.
Editing this shape or saving this workbook into a different file format will permanently break the chart.</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xdr:from>
      <xdr:col>12</xdr:col>
      <xdr:colOff>357187</xdr:colOff>
      <xdr:row>1</xdr:row>
      <xdr:rowOff>142876</xdr:rowOff>
    </xdr:from>
    <xdr:to>
      <xdr:col>17</xdr:col>
      <xdr:colOff>333375</xdr:colOff>
      <xdr:row>33</xdr:row>
      <xdr:rowOff>0</xdr:rowOff>
    </xdr:to>
    <mc:AlternateContent xmlns:mc="http://schemas.openxmlformats.org/markup-compatibility/2006">
      <mc:Choice xmlns:cx1="http://schemas.microsoft.com/office/drawing/2015/9/8/chartex" Requires="cx1">
        <xdr:graphicFrame macro="">
          <xdr:nvGraphicFramePr>
            <xdr:cNvPr id="3" name="Chart 2">
              <a:extLst>
                <a:ext uri="{FF2B5EF4-FFF2-40B4-BE49-F238E27FC236}">
                  <a16:creationId xmlns:a16="http://schemas.microsoft.com/office/drawing/2014/main" id="{00000000-0008-0000-0700-000003000000}"/>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8231187" y="301626"/>
              <a:ext cx="3024188" cy="4937124"/>
            </a:xfrm>
            <a:prstGeom prst="rect">
              <a:avLst/>
            </a:prstGeom>
            <a:solidFill>
              <a:prstClr val="white"/>
            </a:solidFill>
            <a:ln w="1">
              <a:solidFill>
                <a:prstClr val="green"/>
              </a:solidFill>
            </a:ln>
          </xdr:spPr>
          <xdr:txBody>
            <a:bodyPr vertOverflow="clip" horzOverflow="clip"/>
            <a:lstStyle/>
            <a:p>
              <a:r>
                <a:rPr lang="en-GB" sz="1100"/>
                <a:t>This chart isn't available in your version of Excel.
Editing this shape or saving this workbook into a different file format will permanently break the chart.</a:t>
              </a:r>
            </a:p>
          </xdr:txBody>
        </xdr:sp>
      </mc:Fallback>
    </mc:AlternateContent>
    <xdr:clientData/>
  </xdr:twoCellAnchor>
</xdr:wsDr>
</file>

<file path=xl/drawings/drawing5.xml><?xml version="1.0" encoding="utf-8"?>
<xdr:wsDr xmlns:xdr="http://schemas.openxmlformats.org/drawingml/2006/spreadsheetDrawing" xmlns:a="http://schemas.openxmlformats.org/drawingml/2006/main">
  <xdr:twoCellAnchor>
    <xdr:from>
      <xdr:col>8</xdr:col>
      <xdr:colOff>152400</xdr:colOff>
      <xdr:row>46</xdr:row>
      <xdr:rowOff>114300</xdr:rowOff>
    </xdr:from>
    <xdr:to>
      <xdr:col>11</xdr:col>
      <xdr:colOff>752475</xdr:colOff>
      <xdr:row>59</xdr:row>
      <xdr:rowOff>66675</xdr:rowOff>
    </xdr:to>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265338</xdr:colOff>
      <xdr:row>55</xdr:row>
      <xdr:rowOff>166006</xdr:rowOff>
    </xdr:from>
    <xdr:to>
      <xdr:col>30</xdr:col>
      <xdr:colOff>503465</xdr:colOff>
      <xdr:row>69</xdr:row>
      <xdr:rowOff>176892</xdr:rowOff>
    </xdr:to>
    <xdr:graphicFrame macro="">
      <xdr:nvGraphicFramePr>
        <xdr:cNvPr id="5" name="Chart 4">
          <a:extLst>
            <a:ext uri="{FF2B5EF4-FFF2-40B4-BE49-F238E27FC236}">
              <a16:creationId xmlns:a16="http://schemas.microsoft.com/office/drawing/2014/main" id="{00000000-0008-0000-04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9</xdr:col>
      <xdr:colOff>800100</xdr:colOff>
      <xdr:row>23</xdr:row>
      <xdr:rowOff>104775</xdr:rowOff>
    </xdr:from>
    <xdr:to>
      <xdr:col>12</xdr:col>
      <xdr:colOff>495301</xdr:colOff>
      <xdr:row>34</xdr:row>
      <xdr:rowOff>28575</xdr:rowOff>
    </xdr:to>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66675</xdr:colOff>
      <xdr:row>19</xdr:row>
      <xdr:rowOff>126155</xdr:rowOff>
    </xdr:from>
    <xdr:to>
      <xdr:col>12</xdr:col>
      <xdr:colOff>523875</xdr:colOff>
      <xdr:row>20</xdr:row>
      <xdr:rowOff>0</xdr:rowOff>
    </xdr:to>
    <xdr:grpSp>
      <xdr:nvGrpSpPr>
        <xdr:cNvPr id="8" name="Group 7">
          <a:extLst>
            <a:ext uri="{FF2B5EF4-FFF2-40B4-BE49-F238E27FC236}">
              <a16:creationId xmlns:a16="http://schemas.microsoft.com/office/drawing/2014/main" id="{00000000-0008-0000-0A00-000008000000}"/>
            </a:ext>
          </a:extLst>
        </xdr:cNvPr>
        <xdr:cNvGrpSpPr/>
      </xdr:nvGrpSpPr>
      <xdr:grpSpPr>
        <a:xfrm>
          <a:off x="2627842" y="3914988"/>
          <a:ext cx="3801533" cy="85512"/>
          <a:chOff x="2419350" y="4250480"/>
          <a:chExt cx="9991724" cy="4386264"/>
        </a:xfrm>
      </xdr:grpSpPr>
      <mc:AlternateContent xmlns:mc="http://schemas.openxmlformats.org/markup-compatibility/2006">
        <mc:Choice xmlns:cx1="http://schemas.microsoft.com/office/drawing/2015/9/8/chartex" Requires="cx1">
          <xdr:graphicFrame macro="">
            <xdr:nvGraphicFramePr>
              <xdr:cNvPr id="6" name="Chart 5">
                <a:extLst>
                  <a:ext uri="{FF2B5EF4-FFF2-40B4-BE49-F238E27FC236}">
                    <a16:creationId xmlns:a16="http://schemas.microsoft.com/office/drawing/2014/main" id="{00000000-0008-0000-0A00-000006000000}"/>
                  </a:ext>
                </a:extLst>
              </xdr:cNvPr>
              <xdr:cNvGraphicFramePr/>
            </xdr:nvGraphicFramePr>
            <xdr:xfrm>
              <a:off x="2419350" y="4250480"/>
              <a:ext cx="3905250" cy="4386264"/>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2419350" y="4250480"/>
                <a:ext cx="3905250" cy="4386264"/>
              </a:xfrm>
              <a:prstGeom prst="rect">
                <a:avLst/>
              </a:prstGeom>
              <a:solidFill>
                <a:prstClr val="white"/>
              </a:solidFill>
              <a:ln w="1">
                <a:solidFill>
                  <a:prstClr val="green"/>
                </a:solidFill>
              </a:ln>
            </xdr:spPr>
            <xdr:txBody>
              <a:bodyPr vertOverflow="clip" horzOverflow="clip"/>
              <a:lstStyle/>
              <a:p>
                <a:r>
                  <a:rPr lang="en-GB" sz="1100"/>
                  <a:t>This chart isn't available in your version of Excel.
Editing this shape or saving this workbook into a different file format will permanently break the chart.</a:t>
                </a:r>
              </a:p>
            </xdr:txBody>
          </xdr:sp>
        </mc:Fallback>
      </mc:AlternateContent>
      <mc:AlternateContent xmlns:mc="http://schemas.openxmlformats.org/markup-compatibility/2006">
        <mc:Choice xmlns:cx1="http://schemas.microsoft.com/office/drawing/2015/9/8/chartex" Requires="cx1">
          <xdr:graphicFrame macro="">
            <xdr:nvGraphicFramePr>
              <xdr:cNvPr id="7" name="Chart 6">
                <a:extLst>
                  <a:ext uri="{FF2B5EF4-FFF2-40B4-BE49-F238E27FC236}">
                    <a16:creationId xmlns:a16="http://schemas.microsoft.com/office/drawing/2014/main" id="{00000000-0008-0000-0A00-000007000000}"/>
                  </a:ext>
                </a:extLst>
              </xdr:cNvPr>
              <xdr:cNvGraphicFramePr/>
            </xdr:nvGraphicFramePr>
            <xdr:xfrm>
              <a:off x="8501063" y="4255344"/>
              <a:ext cx="3910011" cy="4376536"/>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8501063" y="4255344"/>
                <a:ext cx="3910011" cy="4376536"/>
              </a:xfrm>
              <a:prstGeom prst="rect">
                <a:avLst/>
              </a:prstGeom>
              <a:solidFill>
                <a:prstClr val="white"/>
              </a:solidFill>
              <a:ln w="1">
                <a:solidFill>
                  <a:prstClr val="green"/>
                </a:solidFill>
              </a:ln>
            </xdr:spPr>
            <xdr:txBody>
              <a:bodyPr vertOverflow="clip" horzOverflow="clip"/>
              <a:lstStyle/>
              <a:p>
                <a:r>
                  <a:rPr lang="en-GB" sz="1100"/>
                  <a:t>This chart isn't available in your version of Excel.
Editing this shape or saving this workbook into a different file format will permanently break the chart.</a:t>
                </a:r>
              </a:p>
            </xdr:txBody>
          </xdr:sp>
        </mc:Fallback>
      </mc:AlternateContent>
    </xdr:grpSp>
    <xdr:clientData/>
  </xdr:twoCellAnchor>
  <xdr:twoCellAnchor>
    <xdr:from>
      <xdr:col>0</xdr:col>
      <xdr:colOff>369794</xdr:colOff>
      <xdr:row>12</xdr:row>
      <xdr:rowOff>80682</xdr:rowOff>
    </xdr:from>
    <xdr:to>
      <xdr:col>11</xdr:col>
      <xdr:colOff>25214</xdr:colOff>
      <xdr:row>26</xdr:row>
      <xdr:rowOff>23532</xdr:rowOff>
    </xdr:to>
    <xdr:graphicFrame macro="">
      <xdr:nvGraphicFramePr>
        <xdr:cNvPr id="10" name="Chart 9">
          <a:extLst>
            <a:ext uri="{FF2B5EF4-FFF2-40B4-BE49-F238E27FC236}">
              <a16:creationId xmlns:a16="http://schemas.microsoft.com/office/drawing/2014/main" id="{00000000-0008-0000-0A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110937</xdr:colOff>
      <xdr:row>27</xdr:row>
      <xdr:rowOff>11206</xdr:rowOff>
    </xdr:from>
    <xdr:to>
      <xdr:col>8</xdr:col>
      <xdr:colOff>291912</xdr:colOff>
      <xdr:row>33</xdr:row>
      <xdr:rowOff>131669</xdr:rowOff>
    </xdr:to>
    <xdr:grpSp>
      <xdr:nvGrpSpPr>
        <xdr:cNvPr id="11" name="Group 10">
          <a:extLst>
            <a:ext uri="{FF2B5EF4-FFF2-40B4-BE49-F238E27FC236}">
              <a16:creationId xmlns:a16="http://schemas.microsoft.com/office/drawing/2014/main" id="{00000000-0008-0000-0A00-00000B000000}"/>
            </a:ext>
          </a:extLst>
        </xdr:cNvPr>
        <xdr:cNvGrpSpPr/>
      </xdr:nvGrpSpPr>
      <xdr:grpSpPr>
        <a:xfrm>
          <a:off x="1592604" y="5451039"/>
          <a:ext cx="2879725" cy="1189380"/>
          <a:chOff x="8172449" y="9020175"/>
          <a:chExt cx="2628901" cy="1771650"/>
        </a:xfrm>
      </xdr:grpSpPr>
      <xdr:sp macro="" textlink="Biodiversity!Y45">
        <xdr:nvSpPr>
          <xdr:cNvPr id="12" name="TextBox 11">
            <a:extLst>
              <a:ext uri="{FF2B5EF4-FFF2-40B4-BE49-F238E27FC236}">
                <a16:creationId xmlns:a16="http://schemas.microsoft.com/office/drawing/2014/main" id="{00000000-0008-0000-0A00-00000C000000}"/>
              </a:ext>
            </a:extLst>
          </xdr:cNvPr>
          <xdr:cNvSpPr txBox="1"/>
        </xdr:nvSpPr>
        <xdr:spPr>
          <a:xfrm>
            <a:off x="8172449" y="9315450"/>
            <a:ext cx="10953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AD71766A-A83E-4840-9FAA-AA433AC03020}" type="TxLink">
              <a:rPr lang="en-US" sz="1200" b="1" i="0" u="none" strike="noStrike">
                <a:solidFill>
                  <a:srgbClr val="000000"/>
                </a:solidFill>
                <a:latin typeface="Roboto" panose="02000000000000000000" pitchFamily="2" charset="0"/>
                <a:ea typeface="Roboto" panose="02000000000000000000" pitchFamily="2" charset="0"/>
                <a:cs typeface="Arial"/>
              </a:rPr>
              <a:pPr/>
              <a:t>MSA(final)</a:t>
            </a:fld>
            <a:endParaRPr lang="en-US" sz="1200" b="1">
              <a:latin typeface="Roboto" panose="02000000000000000000" pitchFamily="2" charset="0"/>
              <a:ea typeface="Roboto" panose="02000000000000000000" pitchFamily="2" charset="0"/>
            </a:endParaRPr>
          </a:p>
        </xdr:txBody>
      </xdr:sp>
      <xdr:sp macro="" textlink="Biodiversity!Y46">
        <xdr:nvSpPr>
          <xdr:cNvPr id="13" name="TextBox 12">
            <a:extLst>
              <a:ext uri="{FF2B5EF4-FFF2-40B4-BE49-F238E27FC236}">
                <a16:creationId xmlns:a16="http://schemas.microsoft.com/office/drawing/2014/main" id="{00000000-0008-0000-0A00-00000D000000}"/>
              </a:ext>
            </a:extLst>
          </xdr:cNvPr>
          <xdr:cNvSpPr txBox="1"/>
        </xdr:nvSpPr>
        <xdr:spPr>
          <a:xfrm>
            <a:off x="8172450" y="9610725"/>
            <a:ext cx="87630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AB334652-740B-4DB6-872F-2E0ECE4A33FA}" type="TxLink">
              <a:rPr lang="en-US" sz="1200" b="1" i="0" u="none" strike="noStrike">
                <a:solidFill>
                  <a:srgbClr val="000000"/>
                </a:solidFill>
                <a:latin typeface="Roboto" panose="02000000000000000000" pitchFamily="2" charset="0"/>
                <a:ea typeface="Roboto" panose="02000000000000000000" pitchFamily="2" charset="0"/>
                <a:cs typeface="Arial"/>
              </a:rPr>
              <a:pPr/>
              <a:t>MSA(LU)</a:t>
            </a:fld>
            <a:endParaRPr lang="en-US" sz="1200" b="1">
              <a:latin typeface="Roboto" panose="02000000000000000000" pitchFamily="2" charset="0"/>
              <a:ea typeface="Roboto" panose="02000000000000000000" pitchFamily="2" charset="0"/>
            </a:endParaRPr>
          </a:p>
        </xdr:txBody>
      </xdr:sp>
      <xdr:sp macro="" textlink="Biodiversity!Y47">
        <xdr:nvSpPr>
          <xdr:cNvPr id="14" name="TextBox 13">
            <a:extLst>
              <a:ext uri="{FF2B5EF4-FFF2-40B4-BE49-F238E27FC236}">
                <a16:creationId xmlns:a16="http://schemas.microsoft.com/office/drawing/2014/main" id="{00000000-0008-0000-0A00-00000E000000}"/>
              </a:ext>
            </a:extLst>
          </xdr:cNvPr>
          <xdr:cNvSpPr txBox="1"/>
        </xdr:nvSpPr>
        <xdr:spPr>
          <a:xfrm>
            <a:off x="8172450" y="9906000"/>
            <a:ext cx="87630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5F4CF288-A951-4E93-A273-AD4FE0B90113}" type="TxLink">
              <a:rPr lang="en-US" sz="1200" b="1" i="0" u="none" strike="noStrike">
                <a:solidFill>
                  <a:srgbClr val="000000"/>
                </a:solidFill>
                <a:latin typeface="Roboto" panose="02000000000000000000" pitchFamily="2" charset="0"/>
                <a:ea typeface="Roboto" panose="02000000000000000000" pitchFamily="2" charset="0"/>
                <a:cs typeface="Arial"/>
              </a:rPr>
              <a:pPr/>
              <a:t>MSA(I)</a:t>
            </a:fld>
            <a:endParaRPr lang="en-US" sz="1200" b="1">
              <a:latin typeface="Roboto" panose="02000000000000000000" pitchFamily="2" charset="0"/>
              <a:ea typeface="Roboto" panose="02000000000000000000" pitchFamily="2" charset="0"/>
            </a:endParaRPr>
          </a:p>
        </xdr:txBody>
      </xdr:sp>
      <xdr:sp macro="" textlink="Biodiversity!Y48">
        <xdr:nvSpPr>
          <xdr:cNvPr id="15" name="TextBox 14">
            <a:extLst>
              <a:ext uri="{FF2B5EF4-FFF2-40B4-BE49-F238E27FC236}">
                <a16:creationId xmlns:a16="http://schemas.microsoft.com/office/drawing/2014/main" id="{00000000-0008-0000-0A00-00000F000000}"/>
              </a:ext>
            </a:extLst>
          </xdr:cNvPr>
          <xdr:cNvSpPr txBox="1"/>
        </xdr:nvSpPr>
        <xdr:spPr>
          <a:xfrm>
            <a:off x="8172450" y="10201275"/>
            <a:ext cx="87630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CAEA6F43-B4AD-4CED-AE3A-5382042B0C13}" type="TxLink">
              <a:rPr lang="en-US" sz="1200" b="1" i="0" u="none" strike="noStrike">
                <a:solidFill>
                  <a:srgbClr val="000000"/>
                </a:solidFill>
                <a:latin typeface="Roboto" panose="02000000000000000000" pitchFamily="2" charset="0"/>
                <a:ea typeface="Roboto" panose="02000000000000000000" pitchFamily="2" charset="0"/>
                <a:cs typeface="Arial"/>
              </a:rPr>
              <a:pPr/>
              <a:t>MSA(F)</a:t>
            </a:fld>
            <a:endParaRPr lang="en-US" sz="1200" b="1">
              <a:latin typeface="Roboto" panose="02000000000000000000" pitchFamily="2" charset="0"/>
              <a:ea typeface="Roboto" panose="02000000000000000000" pitchFamily="2" charset="0"/>
            </a:endParaRPr>
          </a:p>
        </xdr:txBody>
      </xdr:sp>
      <xdr:sp macro="" textlink="Biodiversity!Y49">
        <xdr:nvSpPr>
          <xdr:cNvPr id="16" name="TextBox 15">
            <a:extLst>
              <a:ext uri="{FF2B5EF4-FFF2-40B4-BE49-F238E27FC236}">
                <a16:creationId xmlns:a16="http://schemas.microsoft.com/office/drawing/2014/main" id="{00000000-0008-0000-0A00-000010000000}"/>
              </a:ext>
            </a:extLst>
          </xdr:cNvPr>
          <xdr:cNvSpPr txBox="1"/>
        </xdr:nvSpPr>
        <xdr:spPr>
          <a:xfrm>
            <a:off x="8172450" y="10496550"/>
            <a:ext cx="87630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B520CB71-DA74-482F-95E4-A771C91B35C3}" type="TxLink">
              <a:rPr lang="en-US" sz="1200" b="1" i="0" u="none" strike="noStrike">
                <a:solidFill>
                  <a:srgbClr val="000000"/>
                </a:solidFill>
                <a:latin typeface="Roboto" panose="02000000000000000000" pitchFamily="2" charset="0"/>
                <a:ea typeface="Roboto" panose="02000000000000000000" pitchFamily="2" charset="0"/>
                <a:cs typeface="Arial"/>
              </a:rPr>
              <a:pPr/>
              <a:t>MSA(HE)</a:t>
            </a:fld>
            <a:endParaRPr lang="en-US" sz="1200" b="1">
              <a:latin typeface="Roboto" panose="02000000000000000000" pitchFamily="2" charset="0"/>
              <a:ea typeface="Roboto" panose="02000000000000000000" pitchFamily="2" charset="0"/>
            </a:endParaRPr>
          </a:p>
        </xdr:txBody>
      </xdr:sp>
      <xdr:sp macro="" textlink="Biodiversity!AE45">
        <xdr:nvSpPr>
          <xdr:cNvPr id="17" name="TextBox 16">
            <a:extLst>
              <a:ext uri="{FF2B5EF4-FFF2-40B4-BE49-F238E27FC236}">
                <a16:creationId xmlns:a16="http://schemas.microsoft.com/office/drawing/2014/main" id="{00000000-0008-0000-0A00-000011000000}"/>
              </a:ext>
            </a:extLst>
          </xdr:cNvPr>
          <xdr:cNvSpPr txBox="1"/>
        </xdr:nvSpPr>
        <xdr:spPr>
          <a:xfrm>
            <a:off x="9048750" y="9315450"/>
            <a:ext cx="87630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5019201F-8D6B-4F1F-88FE-7BA97C38FDDC}" type="TxLink">
              <a:rPr lang="en-US" sz="1200" b="0" i="0" u="none" strike="noStrike">
                <a:solidFill>
                  <a:srgbClr val="000000"/>
                </a:solidFill>
                <a:latin typeface="Roboto" panose="02000000000000000000" pitchFamily="2" charset="0"/>
                <a:ea typeface="Roboto" panose="02000000000000000000" pitchFamily="2" charset="0"/>
                <a:cs typeface="Arial"/>
              </a:rPr>
              <a:pPr algn="ctr"/>
              <a:t>0.00</a:t>
            </a:fld>
            <a:endParaRPr lang="en-US" sz="1200">
              <a:latin typeface="Roboto" panose="02000000000000000000" pitchFamily="2" charset="0"/>
              <a:ea typeface="Roboto" panose="02000000000000000000" pitchFamily="2" charset="0"/>
            </a:endParaRPr>
          </a:p>
        </xdr:txBody>
      </xdr:sp>
      <xdr:sp macro="" textlink="Biodiversity!AE46">
        <xdr:nvSpPr>
          <xdr:cNvPr id="18" name="TextBox 17">
            <a:extLst>
              <a:ext uri="{FF2B5EF4-FFF2-40B4-BE49-F238E27FC236}">
                <a16:creationId xmlns:a16="http://schemas.microsoft.com/office/drawing/2014/main" id="{00000000-0008-0000-0A00-000012000000}"/>
              </a:ext>
            </a:extLst>
          </xdr:cNvPr>
          <xdr:cNvSpPr txBox="1"/>
        </xdr:nvSpPr>
        <xdr:spPr>
          <a:xfrm>
            <a:off x="9048750" y="9610725"/>
            <a:ext cx="87630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6438641C-F6F9-45BE-85A5-1C96F6EB02DE}" type="TxLink">
              <a:rPr lang="en-US" sz="1200" b="0" i="0" u="none" strike="noStrike">
                <a:solidFill>
                  <a:srgbClr val="000000"/>
                </a:solidFill>
                <a:latin typeface="Roboto" panose="02000000000000000000" pitchFamily="2" charset="0"/>
                <a:ea typeface="Roboto" panose="02000000000000000000" pitchFamily="2" charset="0"/>
                <a:cs typeface="Arial"/>
              </a:rPr>
              <a:pPr algn="ctr"/>
              <a:t>0.00</a:t>
            </a:fld>
            <a:endParaRPr lang="en-US" sz="1200">
              <a:latin typeface="Roboto" panose="02000000000000000000" pitchFamily="2" charset="0"/>
              <a:ea typeface="Roboto" panose="02000000000000000000" pitchFamily="2" charset="0"/>
            </a:endParaRPr>
          </a:p>
        </xdr:txBody>
      </xdr:sp>
      <xdr:sp macro="" textlink="Biodiversity!AE47">
        <xdr:nvSpPr>
          <xdr:cNvPr id="19" name="TextBox 18">
            <a:extLst>
              <a:ext uri="{FF2B5EF4-FFF2-40B4-BE49-F238E27FC236}">
                <a16:creationId xmlns:a16="http://schemas.microsoft.com/office/drawing/2014/main" id="{00000000-0008-0000-0A00-000013000000}"/>
              </a:ext>
            </a:extLst>
          </xdr:cNvPr>
          <xdr:cNvSpPr txBox="1"/>
        </xdr:nvSpPr>
        <xdr:spPr>
          <a:xfrm>
            <a:off x="9048750" y="9906000"/>
            <a:ext cx="87630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5D2DB584-90BF-4B78-9EAC-C07F21CE0120}" type="TxLink">
              <a:rPr lang="en-US" sz="1200" b="0" i="0" u="none" strike="noStrike">
                <a:solidFill>
                  <a:srgbClr val="000000"/>
                </a:solidFill>
                <a:latin typeface="Roboto" panose="02000000000000000000" pitchFamily="2" charset="0"/>
                <a:ea typeface="Roboto" panose="02000000000000000000" pitchFamily="2" charset="0"/>
                <a:cs typeface="Arial"/>
              </a:rPr>
              <a:pPr algn="ctr"/>
              <a:t>0.00</a:t>
            </a:fld>
            <a:endParaRPr lang="en-US" sz="1200">
              <a:latin typeface="Roboto" panose="02000000000000000000" pitchFamily="2" charset="0"/>
              <a:ea typeface="Roboto" panose="02000000000000000000" pitchFamily="2" charset="0"/>
            </a:endParaRPr>
          </a:p>
        </xdr:txBody>
      </xdr:sp>
      <xdr:sp macro="" textlink="Biodiversity!AE48">
        <xdr:nvSpPr>
          <xdr:cNvPr id="20" name="TextBox 19">
            <a:extLst>
              <a:ext uri="{FF2B5EF4-FFF2-40B4-BE49-F238E27FC236}">
                <a16:creationId xmlns:a16="http://schemas.microsoft.com/office/drawing/2014/main" id="{00000000-0008-0000-0A00-000014000000}"/>
              </a:ext>
            </a:extLst>
          </xdr:cNvPr>
          <xdr:cNvSpPr txBox="1"/>
        </xdr:nvSpPr>
        <xdr:spPr>
          <a:xfrm>
            <a:off x="9048750" y="10201275"/>
            <a:ext cx="87630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03F28677-EA65-4725-80E1-1E3A416C3018}" type="TxLink">
              <a:rPr lang="en-US" sz="1200" b="0" i="0" u="none" strike="noStrike">
                <a:solidFill>
                  <a:srgbClr val="000000"/>
                </a:solidFill>
                <a:latin typeface="Roboto" panose="02000000000000000000" pitchFamily="2" charset="0"/>
                <a:ea typeface="Roboto" panose="02000000000000000000" pitchFamily="2" charset="0"/>
                <a:cs typeface="Arial"/>
              </a:rPr>
              <a:pPr algn="ctr"/>
              <a:t>0.00</a:t>
            </a:fld>
            <a:endParaRPr lang="en-US" sz="1200">
              <a:latin typeface="Roboto" panose="02000000000000000000" pitchFamily="2" charset="0"/>
              <a:ea typeface="Roboto" panose="02000000000000000000" pitchFamily="2" charset="0"/>
            </a:endParaRPr>
          </a:p>
        </xdr:txBody>
      </xdr:sp>
      <xdr:sp macro="" textlink="Biodiversity!AE49">
        <xdr:nvSpPr>
          <xdr:cNvPr id="21" name="TextBox 20">
            <a:extLst>
              <a:ext uri="{FF2B5EF4-FFF2-40B4-BE49-F238E27FC236}">
                <a16:creationId xmlns:a16="http://schemas.microsoft.com/office/drawing/2014/main" id="{00000000-0008-0000-0A00-000015000000}"/>
              </a:ext>
            </a:extLst>
          </xdr:cNvPr>
          <xdr:cNvSpPr txBox="1"/>
        </xdr:nvSpPr>
        <xdr:spPr>
          <a:xfrm>
            <a:off x="9048750" y="10496550"/>
            <a:ext cx="87630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9BB9968A-DC9F-4D4A-B913-1C1175EC8B19}" type="TxLink">
              <a:rPr lang="en-US" sz="1200" b="0" i="0" u="none" strike="noStrike">
                <a:solidFill>
                  <a:srgbClr val="000000"/>
                </a:solidFill>
                <a:latin typeface="Roboto" panose="02000000000000000000" pitchFamily="2" charset="0"/>
                <a:ea typeface="Roboto" panose="02000000000000000000" pitchFamily="2" charset="0"/>
                <a:cs typeface="Arial"/>
              </a:rPr>
              <a:pPr algn="ctr"/>
              <a:t>0.00</a:t>
            </a:fld>
            <a:endParaRPr lang="en-US" sz="1200">
              <a:latin typeface="Roboto" panose="02000000000000000000" pitchFamily="2" charset="0"/>
              <a:ea typeface="Roboto" panose="02000000000000000000" pitchFamily="2" charset="0"/>
            </a:endParaRPr>
          </a:p>
        </xdr:txBody>
      </xdr:sp>
      <xdr:sp macro="" textlink="Biodiversity!AF45">
        <xdr:nvSpPr>
          <xdr:cNvPr id="22" name="TextBox 21">
            <a:extLst>
              <a:ext uri="{FF2B5EF4-FFF2-40B4-BE49-F238E27FC236}">
                <a16:creationId xmlns:a16="http://schemas.microsoft.com/office/drawing/2014/main" id="{00000000-0008-0000-0A00-000016000000}"/>
              </a:ext>
            </a:extLst>
          </xdr:cNvPr>
          <xdr:cNvSpPr txBox="1"/>
        </xdr:nvSpPr>
        <xdr:spPr>
          <a:xfrm>
            <a:off x="9925050" y="9315450"/>
            <a:ext cx="87630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CAA29525-9BDD-4E88-9892-E3FDB1384879}" type="TxLink">
              <a:rPr lang="en-US" sz="1200" b="0" i="0" u="none" strike="noStrike">
                <a:solidFill>
                  <a:srgbClr val="000000"/>
                </a:solidFill>
                <a:latin typeface="Roboto" panose="02000000000000000000" pitchFamily="2" charset="0"/>
                <a:ea typeface="Roboto" panose="02000000000000000000" pitchFamily="2" charset="0"/>
                <a:cs typeface="Arial"/>
              </a:rPr>
              <a:pPr algn="ctr"/>
              <a:t>0.00</a:t>
            </a:fld>
            <a:endParaRPr lang="en-US" sz="1200">
              <a:latin typeface="Roboto" panose="02000000000000000000" pitchFamily="2" charset="0"/>
              <a:ea typeface="Roboto" panose="02000000000000000000" pitchFamily="2" charset="0"/>
            </a:endParaRPr>
          </a:p>
        </xdr:txBody>
      </xdr:sp>
      <xdr:sp macro="" textlink="Biodiversity!AF46">
        <xdr:nvSpPr>
          <xdr:cNvPr id="23" name="TextBox 22">
            <a:extLst>
              <a:ext uri="{FF2B5EF4-FFF2-40B4-BE49-F238E27FC236}">
                <a16:creationId xmlns:a16="http://schemas.microsoft.com/office/drawing/2014/main" id="{00000000-0008-0000-0A00-000017000000}"/>
              </a:ext>
            </a:extLst>
          </xdr:cNvPr>
          <xdr:cNvSpPr txBox="1"/>
        </xdr:nvSpPr>
        <xdr:spPr>
          <a:xfrm>
            <a:off x="9925050" y="9610725"/>
            <a:ext cx="87630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EB0C5292-929B-4804-B983-6FD6E932C601}" type="TxLink">
              <a:rPr lang="en-US" sz="1200" b="0" i="0" u="none" strike="noStrike">
                <a:solidFill>
                  <a:srgbClr val="000000"/>
                </a:solidFill>
                <a:latin typeface="Roboto" panose="02000000000000000000" pitchFamily="2" charset="0"/>
                <a:ea typeface="Roboto" panose="02000000000000000000" pitchFamily="2" charset="0"/>
                <a:cs typeface="Arial"/>
              </a:rPr>
              <a:pPr algn="ctr"/>
              <a:t>0.00</a:t>
            </a:fld>
            <a:endParaRPr lang="en-US" sz="1200">
              <a:latin typeface="Roboto" panose="02000000000000000000" pitchFamily="2" charset="0"/>
              <a:ea typeface="Roboto" panose="02000000000000000000" pitchFamily="2" charset="0"/>
            </a:endParaRPr>
          </a:p>
        </xdr:txBody>
      </xdr:sp>
      <xdr:sp macro="" textlink="Biodiversity!AF47">
        <xdr:nvSpPr>
          <xdr:cNvPr id="24" name="TextBox 23">
            <a:extLst>
              <a:ext uri="{FF2B5EF4-FFF2-40B4-BE49-F238E27FC236}">
                <a16:creationId xmlns:a16="http://schemas.microsoft.com/office/drawing/2014/main" id="{00000000-0008-0000-0A00-000018000000}"/>
              </a:ext>
            </a:extLst>
          </xdr:cNvPr>
          <xdr:cNvSpPr txBox="1"/>
        </xdr:nvSpPr>
        <xdr:spPr>
          <a:xfrm>
            <a:off x="9925050" y="9906000"/>
            <a:ext cx="87630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D592D63E-E794-4C0D-BB38-F2F399449B2E}" type="TxLink">
              <a:rPr lang="en-US" sz="1200" b="0" i="0" u="none" strike="noStrike">
                <a:solidFill>
                  <a:srgbClr val="000000"/>
                </a:solidFill>
                <a:latin typeface="Roboto" panose="02000000000000000000" pitchFamily="2" charset="0"/>
                <a:ea typeface="Roboto" panose="02000000000000000000" pitchFamily="2" charset="0"/>
                <a:cs typeface="Arial"/>
              </a:rPr>
              <a:pPr algn="ctr"/>
              <a:t>0.00</a:t>
            </a:fld>
            <a:endParaRPr lang="en-US" sz="1200">
              <a:latin typeface="Roboto" panose="02000000000000000000" pitchFamily="2" charset="0"/>
              <a:ea typeface="Roboto" panose="02000000000000000000" pitchFamily="2" charset="0"/>
            </a:endParaRPr>
          </a:p>
        </xdr:txBody>
      </xdr:sp>
      <xdr:sp macro="" textlink="Biodiversity!AF48">
        <xdr:nvSpPr>
          <xdr:cNvPr id="25" name="TextBox 24">
            <a:extLst>
              <a:ext uri="{FF2B5EF4-FFF2-40B4-BE49-F238E27FC236}">
                <a16:creationId xmlns:a16="http://schemas.microsoft.com/office/drawing/2014/main" id="{00000000-0008-0000-0A00-000019000000}"/>
              </a:ext>
            </a:extLst>
          </xdr:cNvPr>
          <xdr:cNvSpPr txBox="1"/>
        </xdr:nvSpPr>
        <xdr:spPr>
          <a:xfrm>
            <a:off x="9925050" y="10201275"/>
            <a:ext cx="87630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765C7BAB-EA60-4DAA-8BC4-DC0CBB4AB769}" type="TxLink">
              <a:rPr lang="en-US" sz="1200" b="0" i="0" u="none" strike="noStrike">
                <a:solidFill>
                  <a:srgbClr val="000000"/>
                </a:solidFill>
                <a:latin typeface="Roboto" panose="02000000000000000000" pitchFamily="2" charset="0"/>
                <a:ea typeface="Roboto" panose="02000000000000000000" pitchFamily="2" charset="0"/>
                <a:cs typeface="Arial"/>
              </a:rPr>
              <a:pPr algn="ctr"/>
              <a:t>0.00</a:t>
            </a:fld>
            <a:endParaRPr lang="en-US" sz="1200">
              <a:latin typeface="Roboto" panose="02000000000000000000" pitchFamily="2" charset="0"/>
              <a:ea typeface="Roboto" panose="02000000000000000000" pitchFamily="2" charset="0"/>
            </a:endParaRPr>
          </a:p>
        </xdr:txBody>
      </xdr:sp>
      <xdr:sp macro="" textlink="Biodiversity!AF49">
        <xdr:nvSpPr>
          <xdr:cNvPr id="26" name="TextBox 25">
            <a:extLst>
              <a:ext uri="{FF2B5EF4-FFF2-40B4-BE49-F238E27FC236}">
                <a16:creationId xmlns:a16="http://schemas.microsoft.com/office/drawing/2014/main" id="{00000000-0008-0000-0A00-00001A000000}"/>
              </a:ext>
            </a:extLst>
          </xdr:cNvPr>
          <xdr:cNvSpPr txBox="1"/>
        </xdr:nvSpPr>
        <xdr:spPr>
          <a:xfrm>
            <a:off x="9925050" y="10496550"/>
            <a:ext cx="87630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476EEDE8-131A-4429-B2B8-B92E5329E4EC}" type="TxLink">
              <a:rPr lang="en-US" sz="1200" b="0" i="0" u="none" strike="noStrike">
                <a:solidFill>
                  <a:srgbClr val="000000"/>
                </a:solidFill>
                <a:latin typeface="Roboto" panose="02000000000000000000" pitchFamily="2" charset="0"/>
                <a:ea typeface="Roboto" panose="02000000000000000000" pitchFamily="2" charset="0"/>
                <a:cs typeface="Arial"/>
              </a:rPr>
              <a:pPr algn="ctr"/>
              <a:t>0.00</a:t>
            </a:fld>
            <a:endParaRPr lang="en-US" sz="1200">
              <a:latin typeface="Roboto" panose="02000000000000000000" pitchFamily="2" charset="0"/>
              <a:ea typeface="Roboto" panose="02000000000000000000" pitchFamily="2" charset="0"/>
            </a:endParaRPr>
          </a:p>
        </xdr:txBody>
      </xdr:sp>
      <xdr:sp macro="" textlink="Biodiversity!AE44">
        <xdr:nvSpPr>
          <xdr:cNvPr id="27" name="TextBox 26">
            <a:extLst>
              <a:ext uri="{FF2B5EF4-FFF2-40B4-BE49-F238E27FC236}">
                <a16:creationId xmlns:a16="http://schemas.microsoft.com/office/drawing/2014/main" id="{00000000-0008-0000-0A00-00001B000000}"/>
              </a:ext>
            </a:extLst>
          </xdr:cNvPr>
          <xdr:cNvSpPr txBox="1"/>
        </xdr:nvSpPr>
        <xdr:spPr>
          <a:xfrm>
            <a:off x="9048750" y="9020175"/>
            <a:ext cx="87630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4CBE17D6-01A5-48C4-BA2D-483581D3547D}" type="TxLink">
              <a:rPr lang="en-US" sz="1200" b="1" i="0" u="none" strike="noStrike">
                <a:solidFill>
                  <a:srgbClr val="000000"/>
                </a:solidFill>
                <a:latin typeface="Roboto" panose="02000000000000000000" pitchFamily="2" charset="0"/>
                <a:ea typeface="Roboto" panose="02000000000000000000" pitchFamily="2" charset="0"/>
                <a:cs typeface="Arial"/>
              </a:rPr>
              <a:pPr algn="ctr"/>
              <a:t>Without Project</a:t>
            </a:fld>
            <a:endParaRPr lang="en-US" sz="1200" b="1">
              <a:latin typeface="Roboto" panose="02000000000000000000" pitchFamily="2" charset="0"/>
              <a:ea typeface="Roboto" panose="02000000000000000000" pitchFamily="2" charset="0"/>
            </a:endParaRPr>
          </a:p>
        </xdr:txBody>
      </xdr:sp>
      <xdr:sp macro="" textlink="Biodiversity!AF44">
        <xdr:nvSpPr>
          <xdr:cNvPr id="28" name="TextBox 27">
            <a:extLst>
              <a:ext uri="{FF2B5EF4-FFF2-40B4-BE49-F238E27FC236}">
                <a16:creationId xmlns:a16="http://schemas.microsoft.com/office/drawing/2014/main" id="{00000000-0008-0000-0A00-00001C000000}"/>
              </a:ext>
            </a:extLst>
          </xdr:cNvPr>
          <xdr:cNvSpPr txBox="1"/>
        </xdr:nvSpPr>
        <xdr:spPr>
          <a:xfrm>
            <a:off x="9925050" y="9020175"/>
            <a:ext cx="87630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EDBD9CE4-83E3-4E9A-A186-FF0FDA365E31}" type="TxLink">
              <a:rPr lang="en-US" sz="1200" b="1" i="0" u="none" strike="noStrike">
                <a:solidFill>
                  <a:srgbClr val="000000"/>
                </a:solidFill>
                <a:latin typeface="Roboto" panose="02000000000000000000" pitchFamily="2" charset="0"/>
                <a:ea typeface="Roboto" panose="02000000000000000000" pitchFamily="2" charset="0"/>
                <a:cs typeface="Arial"/>
              </a:rPr>
              <a:pPr algn="ctr"/>
              <a:t>With Project</a:t>
            </a:fld>
            <a:endParaRPr lang="en-US" sz="1200" b="1">
              <a:latin typeface="Roboto" panose="02000000000000000000" pitchFamily="2" charset="0"/>
              <a:ea typeface="Roboto" panose="02000000000000000000" pitchFamily="2" charset="0"/>
            </a:endParaRPr>
          </a:p>
        </xdr:txBody>
      </xdr:sp>
    </xdr:grpSp>
    <xdr:clientData/>
  </xdr:twoCellAnchor>
  <xdr:twoCellAnchor>
    <xdr:from>
      <xdr:col>20</xdr:col>
      <xdr:colOff>334825</xdr:colOff>
      <xdr:row>10</xdr:row>
      <xdr:rowOff>189722</xdr:rowOff>
    </xdr:from>
    <xdr:to>
      <xdr:col>23</xdr:col>
      <xdr:colOff>308050</xdr:colOff>
      <xdr:row>18</xdr:row>
      <xdr:rowOff>113776</xdr:rowOff>
    </xdr:to>
    <xdr:graphicFrame macro="">
      <xdr:nvGraphicFramePr>
        <xdr:cNvPr id="29" name="Chart 28">
          <a:extLst>
            <a:ext uri="{FF2B5EF4-FFF2-40B4-BE49-F238E27FC236}">
              <a16:creationId xmlns:a16="http://schemas.microsoft.com/office/drawing/2014/main" id="{00000000-0008-0000-0A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22</xdr:col>
      <xdr:colOff>429865</xdr:colOff>
      <xdr:row>10</xdr:row>
      <xdr:rowOff>188880</xdr:rowOff>
    </xdr:from>
    <xdr:to>
      <xdr:col>25</xdr:col>
      <xdr:colOff>218242</xdr:colOff>
      <xdr:row>18</xdr:row>
      <xdr:rowOff>113865</xdr:rowOff>
    </xdr:to>
    <xdr:graphicFrame macro="">
      <xdr:nvGraphicFramePr>
        <xdr:cNvPr id="31" name="Chart 30">
          <a:extLst>
            <a:ext uri="{FF2B5EF4-FFF2-40B4-BE49-F238E27FC236}">
              <a16:creationId xmlns:a16="http://schemas.microsoft.com/office/drawing/2014/main" id="{00000000-0008-0000-0A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25</xdr:col>
      <xdr:colOff>89676</xdr:colOff>
      <xdr:row>10</xdr:row>
      <xdr:rowOff>197656</xdr:rowOff>
    </xdr:from>
    <xdr:to>
      <xdr:col>28</xdr:col>
      <xdr:colOff>516849</xdr:colOff>
      <xdr:row>18</xdr:row>
      <xdr:rowOff>105842</xdr:rowOff>
    </xdr:to>
    <xdr:graphicFrame macro="">
      <xdr:nvGraphicFramePr>
        <xdr:cNvPr id="33" name="Chart 32">
          <a:extLst>
            <a:ext uri="{FF2B5EF4-FFF2-40B4-BE49-F238E27FC236}">
              <a16:creationId xmlns:a16="http://schemas.microsoft.com/office/drawing/2014/main" id="{00000000-0008-0000-0A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xdr:col>
      <xdr:colOff>442799</xdr:colOff>
      <xdr:row>10</xdr:row>
      <xdr:rowOff>192719</xdr:rowOff>
    </xdr:from>
    <xdr:to>
      <xdr:col>31</xdr:col>
      <xdr:colOff>173912</xdr:colOff>
      <xdr:row>18</xdr:row>
      <xdr:rowOff>110780</xdr:rowOff>
    </xdr:to>
    <xdr:graphicFrame macro="">
      <xdr:nvGraphicFramePr>
        <xdr:cNvPr id="34" name="Chart 33">
          <a:extLst>
            <a:ext uri="{FF2B5EF4-FFF2-40B4-BE49-F238E27FC236}">
              <a16:creationId xmlns:a16="http://schemas.microsoft.com/office/drawing/2014/main" id="{00000000-0008-0000-0A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11</xdr:col>
      <xdr:colOff>76200</xdr:colOff>
      <xdr:row>11</xdr:row>
      <xdr:rowOff>66676</xdr:rowOff>
    </xdr:from>
    <xdr:to>
      <xdr:col>16</xdr:col>
      <xdr:colOff>342900</xdr:colOff>
      <xdr:row>20</xdr:row>
      <xdr:rowOff>123825</xdr:rowOff>
    </xdr:to>
    <xdr:graphicFrame macro="">
      <xdr:nvGraphicFramePr>
        <xdr:cNvPr id="36" name="Chart 35">
          <a:extLst>
            <a:ext uri="{FF2B5EF4-FFF2-40B4-BE49-F238E27FC236}">
              <a16:creationId xmlns:a16="http://schemas.microsoft.com/office/drawing/2014/main" id="{00000000-0008-0000-0A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16</xdr:col>
      <xdr:colOff>266701</xdr:colOff>
      <xdr:row>16</xdr:row>
      <xdr:rowOff>180976</xdr:rowOff>
    </xdr:from>
    <xdr:to>
      <xdr:col>18</xdr:col>
      <xdr:colOff>95251</xdr:colOff>
      <xdr:row>19</xdr:row>
      <xdr:rowOff>57150</xdr:rowOff>
    </xdr:to>
    <xdr:sp macro="" textlink="Biodiversity!AH60">
      <xdr:nvSpPr>
        <xdr:cNvPr id="9" name="TextBox 8">
          <a:extLst>
            <a:ext uri="{FF2B5EF4-FFF2-40B4-BE49-F238E27FC236}">
              <a16:creationId xmlns:a16="http://schemas.microsoft.com/office/drawing/2014/main" id="{00000000-0008-0000-0A00-000009000000}"/>
            </a:ext>
          </a:extLst>
        </xdr:cNvPr>
        <xdr:cNvSpPr txBox="1"/>
      </xdr:nvSpPr>
      <xdr:spPr>
        <a:xfrm>
          <a:off x="8839201" y="3324226"/>
          <a:ext cx="1784350" cy="5048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EC443A96-C437-465E-9D59-5C82953EA346}" type="TxLink">
            <a:rPr lang="en-US" sz="2400" b="1" i="0" u="none" strike="noStrike">
              <a:solidFill>
                <a:srgbClr val="F2C80F"/>
              </a:solidFill>
              <a:latin typeface="Roboto" panose="02000000000000000000" pitchFamily="2" charset="0"/>
              <a:ea typeface="Roboto" panose="02000000000000000000" pitchFamily="2" charset="0"/>
              <a:cs typeface="Arial"/>
            </a:rPr>
            <a:pPr algn="ctr"/>
            <a:t>0 ha</a:t>
          </a:fld>
          <a:endParaRPr lang="en-US" sz="2400" b="1">
            <a:solidFill>
              <a:srgbClr val="F2C80F"/>
            </a:solidFill>
            <a:latin typeface="Roboto" panose="02000000000000000000" pitchFamily="2" charset="0"/>
            <a:ea typeface="Roboto" panose="02000000000000000000" pitchFamily="2" charset="0"/>
          </a:endParaRPr>
        </a:p>
      </xdr:txBody>
    </xdr:sp>
    <xdr:clientData/>
  </xdr:twoCellAnchor>
  <xdr:twoCellAnchor>
    <xdr:from>
      <xdr:col>16</xdr:col>
      <xdr:colOff>347664</xdr:colOff>
      <xdr:row>13</xdr:row>
      <xdr:rowOff>38100</xdr:rowOff>
    </xdr:from>
    <xdr:to>
      <xdr:col>18</xdr:col>
      <xdr:colOff>14289</xdr:colOff>
      <xdr:row>16</xdr:row>
      <xdr:rowOff>190500</xdr:rowOff>
    </xdr:to>
    <xdr:sp macro="" textlink="">
      <xdr:nvSpPr>
        <xdr:cNvPr id="37" name="TextBox 36">
          <a:extLst>
            <a:ext uri="{FF2B5EF4-FFF2-40B4-BE49-F238E27FC236}">
              <a16:creationId xmlns:a16="http://schemas.microsoft.com/office/drawing/2014/main" id="{00000000-0008-0000-0A00-000025000000}"/>
            </a:ext>
          </a:extLst>
        </xdr:cNvPr>
        <xdr:cNvSpPr txBox="1"/>
      </xdr:nvSpPr>
      <xdr:spPr>
        <a:xfrm>
          <a:off x="8920164" y="2552700"/>
          <a:ext cx="1622425" cy="781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0" i="0" u="none" strike="noStrike">
              <a:solidFill>
                <a:srgbClr val="000000"/>
              </a:solidFill>
              <a:latin typeface="Roboto" panose="02000000000000000000" pitchFamily="2" charset="0"/>
              <a:ea typeface="Roboto" panose="02000000000000000000" pitchFamily="2" charset="0"/>
              <a:cs typeface="Arial"/>
            </a:rPr>
            <a:t>Area of avoided biodiversity loss</a:t>
          </a:r>
        </a:p>
      </xdr:txBody>
    </xdr:sp>
    <xdr:clientData/>
  </xdr:twoCellAnchor>
  <xdr:twoCellAnchor>
    <xdr:from>
      <xdr:col>12</xdr:col>
      <xdr:colOff>304800</xdr:colOff>
      <xdr:row>23</xdr:row>
      <xdr:rowOff>47627</xdr:rowOff>
    </xdr:from>
    <xdr:to>
      <xdr:col>17</xdr:col>
      <xdr:colOff>1047750</xdr:colOff>
      <xdr:row>26</xdr:row>
      <xdr:rowOff>57151</xdr:rowOff>
    </xdr:to>
    <xdr:sp macro="" textlink="'ESVD - Social Value of Bio'!AG3:AG32">
      <xdr:nvSpPr>
        <xdr:cNvPr id="44" name="TextBox 43">
          <a:extLst>
            <a:ext uri="{FF2B5EF4-FFF2-40B4-BE49-F238E27FC236}">
              <a16:creationId xmlns:a16="http://schemas.microsoft.com/office/drawing/2014/main" id="{00000000-0008-0000-0A00-00002C000000}"/>
            </a:ext>
          </a:extLst>
        </xdr:cNvPr>
        <xdr:cNvSpPr txBox="1"/>
      </xdr:nvSpPr>
      <xdr:spPr>
        <a:xfrm>
          <a:off x="6199257" y="4616866"/>
          <a:ext cx="4069797" cy="6307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AD78EE91-9DA3-4CFA-87EF-ADDBDCC79F28}" type="TxLink">
            <a:rPr lang="en-US" sz="2800" b="1" i="0" u="none" strike="noStrike">
              <a:solidFill>
                <a:srgbClr val="F2C80F"/>
              </a:solidFill>
              <a:latin typeface="Roboto" panose="02000000000000000000" pitchFamily="2" charset="0"/>
              <a:ea typeface="Roboto" panose="02000000000000000000" pitchFamily="2" charset="0"/>
              <a:cs typeface="Arial"/>
            </a:rPr>
            <a:pPr algn="ctr"/>
            <a:t>USD 0</a:t>
          </a:fld>
          <a:endParaRPr lang="en-US" sz="2800" b="1">
            <a:solidFill>
              <a:srgbClr val="F2C80F"/>
            </a:solidFill>
            <a:latin typeface="Roboto" panose="02000000000000000000" pitchFamily="2" charset="0"/>
            <a:ea typeface="Roboto" panose="02000000000000000000" pitchFamily="2" charset="0"/>
          </a:endParaRPr>
        </a:p>
      </xdr:txBody>
    </xdr:sp>
    <xdr:clientData/>
  </xdr:twoCellAnchor>
  <xdr:twoCellAnchor>
    <xdr:from>
      <xdr:col>11</xdr:col>
      <xdr:colOff>104774</xdr:colOff>
      <xdr:row>10</xdr:row>
      <xdr:rowOff>114300</xdr:rowOff>
    </xdr:from>
    <xdr:to>
      <xdr:col>16</xdr:col>
      <xdr:colOff>66675</xdr:colOff>
      <xdr:row>13</xdr:row>
      <xdr:rowOff>99218</xdr:rowOff>
    </xdr:to>
    <xdr:sp macro="" textlink="">
      <xdr:nvSpPr>
        <xdr:cNvPr id="47" name="TextBox 46">
          <a:extLst>
            <a:ext uri="{FF2B5EF4-FFF2-40B4-BE49-F238E27FC236}">
              <a16:creationId xmlns:a16="http://schemas.microsoft.com/office/drawing/2014/main" id="{00000000-0008-0000-0A00-00002F000000}"/>
            </a:ext>
          </a:extLst>
        </xdr:cNvPr>
        <xdr:cNvSpPr txBox="1"/>
      </xdr:nvSpPr>
      <xdr:spPr>
        <a:xfrm>
          <a:off x="5859462" y="2078831"/>
          <a:ext cx="2749947" cy="520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400" b="1" i="0" u="none" strike="noStrike">
              <a:solidFill>
                <a:srgbClr val="000000"/>
              </a:solidFill>
              <a:latin typeface="Century Gothic" panose="020B0502020202020204" pitchFamily="34" charset="0"/>
              <a:cs typeface="Arial"/>
            </a:rPr>
            <a:t>I. Area</a:t>
          </a:r>
          <a:r>
            <a:rPr lang="en-US" sz="1400" b="1" i="0" u="none" strike="noStrike" baseline="0">
              <a:solidFill>
                <a:srgbClr val="000000"/>
              </a:solidFill>
              <a:latin typeface="Century Gothic" panose="020B0502020202020204" pitchFamily="34" charset="0"/>
              <a:cs typeface="Arial"/>
            </a:rPr>
            <a:t> of</a:t>
          </a:r>
          <a:r>
            <a:rPr lang="en-US" sz="1400" b="1" i="0" u="none" strike="noStrike">
              <a:solidFill>
                <a:srgbClr val="000000"/>
              </a:solidFill>
              <a:latin typeface="Century Gothic" panose="020B0502020202020204" pitchFamily="34" charset="0"/>
              <a:cs typeface="Arial"/>
            </a:rPr>
            <a:t> Biodiversity Loss </a:t>
          </a:r>
        </a:p>
      </xdr:txBody>
    </xdr:sp>
    <xdr:clientData/>
  </xdr:twoCellAnchor>
  <xdr:twoCellAnchor>
    <xdr:from>
      <xdr:col>11</xdr:col>
      <xdr:colOff>104775</xdr:colOff>
      <xdr:row>20</xdr:row>
      <xdr:rowOff>114300</xdr:rowOff>
    </xdr:from>
    <xdr:to>
      <xdr:col>17</xdr:col>
      <xdr:colOff>981075</xdr:colOff>
      <xdr:row>22</xdr:row>
      <xdr:rowOff>66675</xdr:rowOff>
    </xdr:to>
    <xdr:sp macro="" textlink="">
      <xdr:nvSpPr>
        <xdr:cNvPr id="48" name="TextBox 47">
          <a:extLst>
            <a:ext uri="{FF2B5EF4-FFF2-40B4-BE49-F238E27FC236}">
              <a16:creationId xmlns:a16="http://schemas.microsoft.com/office/drawing/2014/main" id="{00000000-0008-0000-0A00-000030000000}"/>
            </a:ext>
          </a:extLst>
        </xdr:cNvPr>
        <xdr:cNvSpPr txBox="1"/>
      </xdr:nvSpPr>
      <xdr:spPr>
        <a:xfrm>
          <a:off x="5629275" y="4124325"/>
          <a:ext cx="4162425"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400" b="1" i="0" u="none" strike="noStrike">
              <a:solidFill>
                <a:srgbClr val="000000"/>
              </a:solidFill>
              <a:latin typeface="Century Gothic" panose="020B0502020202020204" pitchFamily="34" charset="0"/>
              <a:cs typeface="Arial"/>
            </a:rPr>
            <a:t>II. Added Social</a:t>
          </a:r>
          <a:r>
            <a:rPr lang="en-US" sz="1400" b="1" i="0" u="none" strike="noStrike" baseline="0">
              <a:solidFill>
                <a:srgbClr val="000000"/>
              </a:solidFill>
              <a:latin typeface="Century Gothic" panose="020B0502020202020204" pitchFamily="34" charset="0"/>
              <a:cs typeface="Arial"/>
            </a:rPr>
            <a:t> Value of Biodiversity </a:t>
          </a:r>
          <a:endParaRPr lang="en-US" sz="1400" b="1" i="0" u="none" strike="noStrike">
            <a:solidFill>
              <a:srgbClr val="000000"/>
            </a:solidFill>
            <a:latin typeface="Century Gothic" panose="020B0502020202020204" pitchFamily="34" charset="0"/>
            <a:cs typeface="Arial"/>
          </a:endParaRPr>
        </a:p>
      </xdr:txBody>
    </xdr:sp>
    <xdr:clientData/>
  </xdr:twoCellAnchor>
  <xdr:twoCellAnchor>
    <xdr:from>
      <xdr:col>0</xdr:col>
      <xdr:colOff>107950</xdr:colOff>
      <xdr:row>0</xdr:row>
      <xdr:rowOff>50800</xdr:rowOff>
    </xdr:from>
    <xdr:to>
      <xdr:col>22</xdr:col>
      <xdr:colOff>59019</xdr:colOff>
      <xdr:row>3</xdr:row>
      <xdr:rowOff>77959</xdr:rowOff>
    </xdr:to>
    <xdr:grpSp>
      <xdr:nvGrpSpPr>
        <xdr:cNvPr id="56" name="Group 55">
          <a:extLst>
            <a:ext uri="{FF2B5EF4-FFF2-40B4-BE49-F238E27FC236}">
              <a16:creationId xmlns:a16="http://schemas.microsoft.com/office/drawing/2014/main" id="{B7BDD5ED-49F9-4F1A-8F64-63D3DF147013}"/>
            </a:ext>
          </a:extLst>
        </xdr:cNvPr>
        <xdr:cNvGrpSpPr/>
      </xdr:nvGrpSpPr>
      <xdr:grpSpPr>
        <a:xfrm>
          <a:off x="107950" y="50800"/>
          <a:ext cx="12100736" cy="598659"/>
          <a:chOff x="110558" y="59439"/>
          <a:chExt cx="12037076" cy="593063"/>
        </a:xfrm>
      </xdr:grpSpPr>
      <xdr:pic>
        <xdr:nvPicPr>
          <xdr:cNvPr id="57" name="Picture 56">
            <a:extLst>
              <a:ext uri="{FF2B5EF4-FFF2-40B4-BE49-F238E27FC236}">
                <a16:creationId xmlns:a16="http://schemas.microsoft.com/office/drawing/2014/main" id="{0856B34E-D310-47CD-A25F-EBA761D8E404}"/>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0558" y="97368"/>
            <a:ext cx="2405019" cy="507844"/>
          </a:xfrm>
          <a:prstGeom prst="rect">
            <a:avLst/>
          </a:prstGeom>
        </xdr:spPr>
      </xdr:pic>
      <xdr:grpSp>
        <xdr:nvGrpSpPr>
          <xdr:cNvPr id="58" name="Group 57">
            <a:extLst>
              <a:ext uri="{FF2B5EF4-FFF2-40B4-BE49-F238E27FC236}">
                <a16:creationId xmlns:a16="http://schemas.microsoft.com/office/drawing/2014/main" id="{EF58B3FC-2148-416C-8587-4D2ABE37DC5E}"/>
              </a:ext>
            </a:extLst>
          </xdr:cNvPr>
          <xdr:cNvGrpSpPr/>
        </xdr:nvGrpSpPr>
        <xdr:grpSpPr>
          <a:xfrm>
            <a:off x="2864782" y="59439"/>
            <a:ext cx="9282852" cy="593063"/>
            <a:chOff x="2864782" y="59439"/>
            <a:chExt cx="9282852" cy="659235"/>
          </a:xfrm>
        </xdr:grpSpPr>
        <xdr:sp macro="" textlink="">
          <xdr:nvSpPr>
            <xdr:cNvPr id="59" name="TextBox 58">
              <a:extLst>
                <a:ext uri="{FF2B5EF4-FFF2-40B4-BE49-F238E27FC236}">
                  <a16:creationId xmlns:a16="http://schemas.microsoft.com/office/drawing/2014/main" id="{BB8A1500-1B22-422F-ADAF-6C0BAF03E21A}"/>
                </a:ext>
              </a:extLst>
            </xdr:cNvPr>
            <xdr:cNvSpPr txBox="1"/>
          </xdr:nvSpPr>
          <xdr:spPr>
            <a:xfrm>
              <a:off x="2864782" y="59439"/>
              <a:ext cx="9268850" cy="5528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b="1">
                  <a:solidFill>
                    <a:schemeClr val="bg1"/>
                  </a:solidFill>
                  <a:latin typeface="Roboto" panose="02000000000000000000" pitchFamily="2" charset="0"/>
                  <a:ea typeface="Roboto" panose="02000000000000000000" pitchFamily="2" charset="0"/>
                </a:rPr>
                <a:t>B-INTACT</a:t>
              </a:r>
            </a:p>
          </xdr:txBody>
        </xdr:sp>
        <xdr:sp macro="" textlink="">
          <xdr:nvSpPr>
            <xdr:cNvPr id="60" name="TextBox 59">
              <a:extLst>
                <a:ext uri="{FF2B5EF4-FFF2-40B4-BE49-F238E27FC236}">
                  <a16:creationId xmlns:a16="http://schemas.microsoft.com/office/drawing/2014/main" id="{7344B7EC-A5E0-4057-921C-D11CEF631363}"/>
                </a:ext>
              </a:extLst>
            </xdr:cNvPr>
            <xdr:cNvSpPr txBox="1"/>
          </xdr:nvSpPr>
          <xdr:spPr>
            <a:xfrm>
              <a:off x="2878784" y="401346"/>
              <a:ext cx="9268850" cy="3173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0">
                  <a:solidFill>
                    <a:schemeClr val="bg1"/>
                  </a:solidFill>
                  <a:latin typeface="Roboto light" panose="02000000000000000000" pitchFamily="2" charset="0"/>
                  <a:ea typeface="Roboto light" panose="02000000000000000000" pitchFamily="2" charset="0"/>
                </a:rPr>
                <a:t>Biodiversity Integrated</a:t>
              </a:r>
              <a:r>
                <a:rPr lang="en-US" sz="1400" b="0" baseline="0">
                  <a:solidFill>
                    <a:schemeClr val="bg1"/>
                  </a:solidFill>
                  <a:latin typeface="Roboto light" panose="02000000000000000000" pitchFamily="2" charset="0"/>
                  <a:ea typeface="Roboto light" panose="02000000000000000000" pitchFamily="2" charset="0"/>
                </a:rPr>
                <a:t> Assessment and Computation Tool</a:t>
              </a:r>
              <a:endParaRPr lang="en-US" sz="1400" b="0">
                <a:solidFill>
                  <a:schemeClr val="bg1"/>
                </a:solidFill>
                <a:latin typeface="Roboto light" panose="02000000000000000000" pitchFamily="2" charset="0"/>
                <a:ea typeface="Roboto light" panose="02000000000000000000" pitchFamily="2" charset="0"/>
              </a:endParaRPr>
            </a:p>
          </xdr:txBody>
        </xdr:sp>
      </xdr:grpSp>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6350</xdr:colOff>
      <xdr:row>17</xdr:row>
      <xdr:rowOff>107950</xdr:rowOff>
    </xdr:from>
    <xdr:to>
      <xdr:col>8</xdr:col>
      <xdr:colOff>37811</xdr:colOff>
      <xdr:row>32</xdr:row>
      <xdr:rowOff>153222</xdr:rowOff>
    </xdr:to>
    <xdr:pic>
      <xdr:nvPicPr>
        <xdr:cNvPr id="9" name="Picture 8">
          <a:extLst>
            <a:ext uri="{FF2B5EF4-FFF2-40B4-BE49-F238E27FC236}">
              <a16:creationId xmlns:a16="http://schemas.microsoft.com/office/drawing/2014/main" id="{8477D9C3-1A2C-46C8-9295-235E56130B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2156" y="3153219"/>
          <a:ext cx="5623558" cy="2926670"/>
        </a:xfrm>
        <a:prstGeom prst="rect">
          <a:avLst/>
        </a:prstGeom>
      </xdr:spPr>
    </xdr:pic>
    <xdr:clientData/>
  </xdr:twoCellAnchor>
  <xdr:twoCellAnchor editAs="oneCell">
    <xdr:from>
      <xdr:col>1</xdr:col>
      <xdr:colOff>12700</xdr:colOff>
      <xdr:row>37</xdr:row>
      <xdr:rowOff>139700</xdr:rowOff>
    </xdr:from>
    <xdr:to>
      <xdr:col>11</xdr:col>
      <xdr:colOff>546100</xdr:colOff>
      <xdr:row>68</xdr:row>
      <xdr:rowOff>25400</xdr:rowOff>
    </xdr:to>
    <xdr:pic>
      <xdr:nvPicPr>
        <xdr:cNvPr id="17" name="Picture 16">
          <a:extLst>
            <a:ext uri="{FF2B5EF4-FFF2-40B4-BE49-F238E27FC236}">
              <a16:creationId xmlns:a16="http://schemas.microsoft.com/office/drawing/2014/main" id="{B115EFF2-21D0-4E9D-8940-6781B1F561E1}"/>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724" t="1365" r="903" b="1023"/>
        <a:stretch/>
      </xdr:blipFill>
      <xdr:spPr bwMode="auto">
        <a:xfrm>
          <a:off x="260350" y="6858000"/>
          <a:ext cx="7766050" cy="5448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107950</xdr:colOff>
      <xdr:row>0</xdr:row>
      <xdr:rowOff>50800</xdr:rowOff>
    </xdr:from>
    <xdr:to>
      <xdr:col>17</xdr:col>
      <xdr:colOff>293969</xdr:colOff>
      <xdr:row>3</xdr:row>
      <xdr:rowOff>77959</xdr:rowOff>
    </xdr:to>
    <xdr:grpSp>
      <xdr:nvGrpSpPr>
        <xdr:cNvPr id="13" name="Group 12">
          <a:extLst>
            <a:ext uri="{FF2B5EF4-FFF2-40B4-BE49-F238E27FC236}">
              <a16:creationId xmlns:a16="http://schemas.microsoft.com/office/drawing/2014/main" id="{E38373D2-1DC4-4A94-BA66-DF20F4446637}"/>
            </a:ext>
          </a:extLst>
        </xdr:cNvPr>
        <xdr:cNvGrpSpPr/>
      </xdr:nvGrpSpPr>
      <xdr:grpSpPr>
        <a:xfrm>
          <a:off x="107950" y="50800"/>
          <a:ext cx="12124019" cy="598659"/>
          <a:chOff x="110558" y="59439"/>
          <a:chExt cx="12037076" cy="593063"/>
        </a:xfrm>
      </xdr:grpSpPr>
      <xdr:pic>
        <xdr:nvPicPr>
          <xdr:cNvPr id="14" name="Picture 13">
            <a:extLst>
              <a:ext uri="{FF2B5EF4-FFF2-40B4-BE49-F238E27FC236}">
                <a16:creationId xmlns:a16="http://schemas.microsoft.com/office/drawing/2014/main" id="{C7A0291F-185B-4584-B3AE-5A52AB20247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0558" y="97368"/>
            <a:ext cx="2405019" cy="507844"/>
          </a:xfrm>
          <a:prstGeom prst="rect">
            <a:avLst/>
          </a:prstGeom>
        </xdr:spPr>
      </xdr:pic>
      <xdr:grpSp>
        <xdr:nvGrpSpPr>
          <xdr:cNvPr id="15" name="Group 14">
            <a:extLst>
              <a:ext uri="{FF2B5EF4-FFF2-40B4-BE49-F238E27FC236}">
                <a16:creationId xmlns:a16="http://schemas.microsoft.com/office/drawing/2014/main" id="{5DC55146-6A79-45A5-A884-A494F606A5D7}"/>
              </a:ext>
            </a:extLst>
          </xdr:cNvPr>
          <xdr:cNvGrpSpPr/>
        </xdr:nvGrpSpPr>
        <xdr:grpSpPr>
          <a:xfrm>
            <a:off x="2864782" y="59439"/>
            <a:ext cx="9282852" cy="593063"/>
            <a:chOff x="2864782" y="59439"/>
            <a:chExt cx="9282852" cy="659235"/>
          </a:xfrm>
        </xdr:grpSpPr>
        <xdr:sp macro="" textlink="">
          <xdr:nvSpPr>
            <xdr:cNvPr id="16" name="TextBox 15">
              <a:extLst>
                <a:ext uri="{FF2B5EF4-FFF2-40B4-BE49-F238E27FC236}">
                  <a16:creationId xmlns:a16="http://schemas.microsoft.com/office/drawing/2014/main" id="{00AA1FA1-1DF8-429A-9F62-5997B37540B6}"/>
                </a:ext>
              </a:extLst>
            </xdr:cNvPr>
            <xdr:cNvSpPr txBox="1"/>
          </xdr:nvSpPr>
          <xdr:spPr>
            <a:xfrm>
              <a:off x="2864782" y="59439"/>
              <a:ext cx="9268850" cy="5528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b="1">
                  <a:solidFill>
                    <a:schemeClr val="bg1"/>
                  </a:solidFill>
                  <a:latin typeface="Roboto" panose="02000000000000000000" pitchFamily="2" charset="0"/>
                  <a:ea typeface="Roboto" panose="02000000000000000000" pitchFamily="2" charset="0"/>
                </a:rPr>
                <a:t>B-INTACT</a:t>
              </a:r>
            </a:p>
          </xdr:txBody>
        </xdr:sp>
        <xdr:sp macro="" textlink="">
          <xdr:nvSpPr>
            <xdr:cNvPr id="18" name="TextBox 17">
              <a:extLst>
                <a:ext uri="{FF2B5EF4-FFF2-40B4-BE49-F238E27FC236}">
                  <a16:creationId xmlns:a16="http://schemas.microsoft.com/office/drawing/2014/main" id="{5A9948D7-6C30-4045-9B81-44C5961F4AC6}"/>
                </a:ext>
              </a:extLst>
            </xdr:cNvPr>
            <xdr:cNvSpPr txBox="1"/>
          </xdr:nvSpPr>
          <xdr:spPr>
            <a:xfrm>
              <a:off x="2878784" y="401346"/>
              <a:ext cx="9268850" cy="3173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0">
                  <a:solidFill>
                    <a:schemeClr val="bg1"/>
                  </a:solidFill>
                  <a:latin typeface="Roboto light" panose="02000000000000000000" pitchFamily="2" charset="0"/>
                  <a:ea typeface="Roboto light" panose="02000000000000000000" pitchFamily="2" charset="0"/>
                </a:rPr>
                <a:t>Biodiversity Integrated</a:t>
              </a:r>
              <a:r>
                <a:rPr lang="en-US" sz="1400" b="0" baseline="0">
                  <a:solidFill>
                    <a:schemeClr val="bg1"/>
                  </a:solidFill>
                  <a:latin typeface="Roboto light" panose="02000000000000000000" pitchFamily="2" charset="0"/>
                  <a:ea typeface="Roboto light" panose="02000000000000000000" pitchFamily="2" charset="0"/>
                </a:rPr>
                <a:t> Assessment and Computation Tool</a:t>
              </a:r>
              <a:endParaRPr lang="en-US" sz="1400" b="0">
                <a:solidFill>
                  <a:schemeClr val="bg1"/>
                </a:solidFill>
                <a:latin typeface="Roboto light" panose="02000000000000000000" pitchFamily="2" charset="0"/>
                <a:ea typeface="Roboto light" panose="02000000000000000000" pitchFamily="2" charset="0"/>
              </a:endParaRPr>
            </a:p>
          </xdr:txBody>
        </xdr:sp>
      </xdr:grpSp>
    </xdr:grpSp>
    <xdr:clientData/>
  </xdr:twoCellAnchor>
  <xdr:twoCellAnchor>
    <xdr:from>
      <xdr:col>15</xdr:col>
      <xdr:colOff>1017365</xdr:colOff>
      <xdr:row>5</xdr:row>
      <xdr:rowOff>27312</xdr:rowOff>
    </xdr:from>
    <xdr:to>
      <xdr:col>16</xdr:col>
      <xdr:colOff>1010489</xdr:colOff>
      <xdr:row>7</xdr:row>
      <xdr:rowOff>42137</xdr:rowOff>
    </xdr:to>
    <xdr:grpSp>
      <xdr:nvGrpSpPr>
        <xdr:cNvPr id="19" name="Group 18">
          <a:hlinkClick xmlns:r="http://schemas.openxmlformats.org/officeDocument/2006/relationships" r:id="rId4"/>
          <a:extLst>
            <a:ext uri="{FF2B5EF4-FFF2-40B4-BE49-F238E27FC236}">
              <a16:creationId xmlns:a16="http://schemas.microsoft.com/office/drawing/2014/main" id="{9E80C97E-23D8-41D0-9804-1B635C47DB07}"/>
            </a:ext>
          </a:extLst>
        </xdr:cNvPr>
        <xdr:cNvGrpSpPr/>
      </xdr:nvGrpSpPr>
      <xdr:grpSpPr>
        <a:xfrm>
          <a:off x="10891615" y="908375"/>
          <a:ext cx="1024999" cy="332325"/>
          <a:chOff x="7832349" y="19235949"/>
          <a:chExt cx="2201509" cy="532337"/>
        </a:xfrm>
      </xdr:grpSpPr>
      <xdr:sp macro="" textlink="">
        <xdr:nvSpPr>
          <xdr:cNvPr id="20" name="Rounded Rectangle 16">
            <a:hlinkClick xmlns:r="http://schemas.openxmlformats.org/officeDocument/2006/relationships" r:id="rId5"/>
            <a:extLst>
              <a:ext uri="{FF2B5EF4-FFF2-40B4-BE49-F238E27FC236}">
                <a16:creationId xmlns:a16="http://schemas.microsoft.com/office/drawing/2014/main" id="{420891C6-CF1E-49A1-94E6-8FF8E94137A7}"/>
              </a:ext>
            </a:extLst>
          </xdr:cNvPr>
          <xdr:cNvSpPr/>
        </xdr:nvSpPr>
        <xdr:spPr>
          <a:xfrm>
            <a:off x="7905750" y="19259555"/>
            <a:ext cx="2038350" cy="400049"/>
          </a:xfrm>
          <a:prstGeom prst="roundRect">
            <a:avLst/>
          </a:prstGeom>
          <a:solidFill>
            <a:srgbClr val="37464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1" name="Rounded Rectangle 17">
            <a:hlinkClick xmlns:r="http://schemas.openxmlformats.org/officeDocument/2006/relationships" r:id="rId4"/>
            <a:extLst>
              <a:ext uri="{FF2B5EF4-FFF2-40B4-BE49-F238E27FC236}">
                <a16:creationId xmlns:a16="http://schemas.microsoft.com/office/drawing/2014/main" id="{968E4BB2-C568-4FF2-B2A3-72257CAB7378}"/>
              </a:ext>
            </a:extLst>
          </xdr:cNvPr>
          <xdr:cNvSpPr/>
        </xdr:nvSpPr>
        <xdr:spPr>
          <a:xfrm>
            <a:off x="7832349" y="19235949"/>
            <a:ext cx="2201509" cy="532337"/>
          </a:xfrm>
          <a:prstGeom prst="roundRect">
            <a:avLst/>
          </a:prstGeom>
          <a:noFill/>
          <a:ln>
            <a:no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ctr"/>
            <a:r>
              <a:rPr lang="en-US" sz="1100" b="1" i="0">
                <a:solidFill>
                  <a:schemeClr val="bg1"/>
                </a:solidFill>
                <a:latin typeface="Roboto" panose="02000000000000000000" pitchFamily="2" charset="0"/>
                <a:ea typeface="Roboto" panose="02000000000000000000" pitchFamily="2" charset="0"/>
              </a:rPr>
              <a:t>Back</a:t>
            </a:r>
            <a:endParaRPr lang="en-US" sz="1000" b="1" i="0">
              <a:solidFill>
                <a:schemeClr val="bg1"/>
              </a:solidFill>
              <a:latin typeface="Roboto" panose="02000000000000000000" pitchFamily="2" charset="0"/>
              <a:ea typeface="Roboto" panose="02000000000000000000" pitchFamily="2" charset="0"/>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21</xdr:col>
      <xdr:colOff>47625</xdr:colOff>
      <xdr:row>61</xdr:row>
      <xdr:rowOff>180158</xdr:rowOff>
    </xdr:from>
    <xdr:to>
      <xdr:col>21</xdr:col>
      <xdr:colOff>1071770</xdr:colOff>
      <xdr:row>63</xdr:row>
      <xdr:rowOff>39169</xdr:rowOff>
    </xdr:to>
    <xdr:grpSp>
      <xdr:nvGrpSpPr>
        <xdr:cNvPr id="16" name="Group 15">
          <a:hlinkClick xmlns:r="http://schemas.openxmlformats.org/officeDocument/2006/relationships" r:id="rId1"/>
          <a:extLst>
            <a:ext uri="{FF2B5EF4-FFF2-40B4-BE49-F238E27FC236}">
              <a16:creationId xmlns:a16="http://schemas.microsoft.com/office/drawing/2014/main" id="{00000000-0008-0000-2A00-000010000000}"/>
            </a:ext>
          </a:extLst>
        </xdr:cNvPr>
        <xdr:cNvGrpSpPr/>
      </xdr:nvGrpSpPr>
      <xdr:grpSpPr>
        <a:xfrm>
          <a:off x="17740313" y="8943158"/>
          <a:ext cx="1024145" cy="327324"/>
          <a:chOff x="7832349" y="19235949"/>
          <a:chExt cx="2201509" cy="532337"/>
        </a:xfrm>
      </xdr:grpSpPr>
      <xdr:sp macro="" textlink="">
        <xdr:nvSpPr>
          <xdr:cNvPr id="17" name="Rounded Rectangle 16">
            <a:hlinkClick xmlns:r="http://schemas.openxmlformats.org/officeDocument/2006/relationships" r:id="rId2"/>
            <a:extLst>
              <a:ext uri="{FF2B5EF4-FFF2-40B4-BE49-F238E27FC236}">
                <a16:creationId xmlns:a16="http://schemas.microsoft.com/office/drawing/2014/main" id="{00000000-0008-0000-2A00-000011000000}"/>
              </a:ext>
            </a:extLst>
          </xdr:cNvPr>
          <xdr:cNvSpPr/>
        </xdr:nvSpPr>
        <xdr:spPr>
          <a:xfrm>
            <a:off x="7905750" y="19259555"/>
            <a:ext cx="2038350" cy="400049"/>
          </a:xfrm>
          <a:prstGeom prst="roundRect">
            <a:avLst/>
          </a:prstGeom>
          <a:solidFill>
            <a:srgbClr val="37464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8" name="Rounded Rectangle 17">
            <a:hlinkClick xmlns:r="http://schemas.openxmlformats.org/officeDocument/2006/relationships" r:id="rId3"/>
            <a:extLst>
              <a:ext uri="{FF2B5EF4-FFF2-40B4-BE49-F238E27FC236}">
                <a16:creationId xmlns:a16="http://schemas.microsoft.com/office/drawing/2014/main" id="{00000000-0008-0000-2A00-000012000000}"/>
              </a:ext>
            </a:extLst>
          </xdr:cNvPr>
          <xdr:cNvSpPr/>
        </xdr:nvSpPr>
        <xdr:spPr>
          <a:xfrm>
            <a:off x="7832349" y="19235949"/>
            <a:ext cx="2201509" cy="532337"/>
          </a:xfrm>
          <a:prstGeom prst="roundRect">
            <a:avLst/>
          </a:prstGeom>
          <a:noFill/>
          <a:ln>
            <a:no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ctr"/>
            <a:r>
              <a:rPr lang="en-US" sz="1100" b="1" i="0">
                <a:solidFill>
                  <a:schemeClr val="bg1"/>
                </a:solidFill>
                <a:latin typeface="Roboto" panose="02000000000000000000" pitchFamily="2" charset="0"/>
                <a:ea typeface="Roboto" panose="02000000000000000000" pitchFamily="2" charset="0"/>
              </a:rPr>
              <a:t>Back</a:t>
            </a:r>
            <a:endParaRPr lang="en-US" sz="1000" b="1" i="0">
              <a:solidFill>
                <a:schemeClr val="bg1"/>
              </a:solidFill>
              <a:latin typeface="Roboto" panose="02000000000000000000" pitchFamily="2" charset="0"/>
              <a:ea typeface="Roboto" panose="02000000000000000000" pitchFamily="2" charset="0"/>
            </a:endParaRPr>
          </a:p>
        </xdr:txBody>
      </xdr:sp>
    </xdr:grpSp>
    <xdr:clientData/>
  </xdr:twoCellAnchor>
  <xdr:twoCellAnchor>
    <xdr:from>
      <xdr:col>19</xdr:col>
      <xdr:colOff>0</xdr:colOff>
      <xdr:row>104</xdr:row>
      <xdr:rowOff>194975</xdr:rowOff>
    </xdr:from>
    <xdr:to>
      <xdr:col>21</xdr:col>
      <xdr:colOff>21903</xdr:colOff>
      <xdr:row>106</xdr:row>
      <xdr:rowOff>28586</xdr:rowOff>
    </xdr:to>
    <xdr:grpSp>
      <xdr:nvGrpSpPr>
        <xdr:cNvPr id="19" name="Group 18">
          <a:hlinkClick xmlns:r="http://schemas.openxmlformats.org/officeDocument/2006/relationships" r:id="rId4"/>
          <a:extLst>
            <a:ext uri="{FF2B5EF4-FFF2-40B4-BE49-F238E27FC236}">
              <a16:creationId xmlns:a16="http://schemas.microsoft.com/office/drawing/2014/main" id="{00000000-0008-0000-2A00-000013000000}"/>
            </a:ext>
          </a:extLst>
        </xdr:cNvPr>
        <xdr:cNvGrpSpPr/>
      </xdr:nvGrpSpPr>
      <xdr:grpSpPr>
        <a:xfrm>
          <a:off x="16684625" y="22312025"/>
          <a:ext cx="1029966" cy="314624"/>
          <a:chOff x="7832349" y="19205117"/>
          <a:chExt cx="2201509" cy="532337"/>
        </a:xfrm>
      </xdr:grpSpPr>
      <xdr:sp macro="" textlink="">
        <xdr:nvSpPr>
          <xdr:cNvPr id="20" name="Rounded Rectangle 19">
            <a:hlinkClick xmlns:r="http://schemas.openxmlformats.org/officeDocument/2006/relationships" r:id="rId2"/>
            <a:extLst>
              <a:ext uri="{FF2B5EF4-FFF2-40B4-BE49-F238E27FC236}">
                <a16:creationId xmlns:a16="http://schemas.microsoft.com/office/drawing/2014/main" id="{00000000-0008-0000-2A00-000014000000}"/>
              </a:ext>
            </a:extLst>
          </xdr:cNvPr>
          <xdr:cNvSpPr/>
        </xdr:nvSpPr>
        <xdr:spPr>
          <a:xfrm>
            <a:off x="7905750" y="19259555"/>
            <a:ext cx="2038350" cy="400049"/>
          </a:xfrm>
          <a:prstGeom prst="roundRect">
            <a:avLst/>
          </a:prstGeom>
          <a:solidFill>
            <a:srgbClr val="37464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1" name="Rounded Rectangle 20">
            <a:hlinkClick xmlns:r="http://schemas.openxmlformats.org/officeDocument/2006/relationships" r:id="rId5"/>
            <a:extLst>
              <a:ext uri="{FF2B5EF4-FFF2-40B4-BE49-F238E27FC236}">
                <a16:creationId xmlns:a16="http://schemas.microsoft.com/office/drawing/2014/main" id="{00000000-0008-0000-2A00-000015000000}"/>
              </a:ext>
            </a:extLst>
          </xdr:cNvPr>
          <xdr:cNvSpPr/>
        </xdr:nvSpPr>
        <xdr:spPr>
          <a:xfrm>
            <a:off x="7832349" y="19205117"/>
            <a:ext cx="2201509" cy="532337"/>
          </a:xfrm>
          <a:prstGeom prst="roundRect">
            <a:avLst/>
          </a:prstGeom>
          <a:noFill/>
          <a:ln>
            <a:no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ctr"/>
            <a:r>
              <a:rPr lang="en-US" sz="1100" b="1" i="0">
                <a:solidFill>
                  <a:schemeClr val="bg1"/>
                </a:solidFill>
                <a:latin typeface="Century Gothic" panose="020B0502020202020204" pitchFamily="34" charset="0"/>
              </a:rPr>
              <a:t>Back</a:t>
            </a:r>
            <a:endParaRPr lang="en-US" sz="1000" b="1" i="0">
              <a:solidFill>
                <a:schemeClr val="bg1"/>
              </a:solidFill>
              <a:latin typeface="Century Gothic" panose="020B0502020202020204" pitchFamily="34" charset="0"/>
            </a:endParaRPr>
          </a:p>
        </xdr:txBody>
      </xdr:sp>
    </xdr:grpSp>
    <xdr:clientData/>
  </xdr:twoCellAnchor>
  <xdr:twoCellAnchor>
    <xdr:from>
      <xdr:col>0</xdr:col>
      <xdr:colOff>120650</xdr:colOff>
      <xdr:row>0</xdr:row>
      <xdr:rowOff>50800</xdr:rowOff>
    </xdr:from>
    <xdr:to>
      <xdr:col>6</xdr:col>
      <xdr:colOff>446369</xdr:colOff>
      <xdr:row>3</xdr:row>
      <xdr:rowOff>77959</xdr:rowOff>
    </xdr:to>
    <xdr:grpSp>
      <xdr:nvGrpSpPr>
        <xdr:cNvPr id="30" name="Group 29">
          <a:extLst>
            <a:ext uri="{FF2B5EF4-FFF2-40B4-BE49-F238E27FC236}">
              <a16:creationId xmlns:a16="http://schemas.microsoft.com/office/drawing/2014/main" id="{F33A07C7-7CBD-4A18-B567-713C4A361184}"/>
            </a:ext>
          </a:extLst>
        </xdr:cNvPr>
        <xdr:cNvGrpSpPr/>
      </xdr:nvGrpSpPr>
      <xdr:grpSpPr>
        <a:xfrm>
          <a:off x="120650" y="50800"/>
          <a:ext cx="12112907" cy="598659"/>
          <a:chOff x="110558" y="59439"/>
          <a:chExt cx="12037076" cy="593063"/>
        </a:xfrm>
      </xdr:grpSpPr>
      <xdr:pic>
        <xdr:nvPicPr>
          <xdr:cNvPr id="31" name="Picture 30">
            <a:extLst>
              <a:ext uri="{FF2B5EF4-FFF2-40B4-BE49-F238E27FC236}">
                <a16:creationId xmlns:a16="http://schemas.microsoft.com/office/drawing/2014/main" id="{CA3ABE68-08FB-4946-9F34-D0AB1719873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0558" y="97368"/>
            <a:ext cx="2405019" cy="507844"/>
          </a:xfrm>
          <a:prstGeom prst="rect">
            <a:avLst/>
          </a:prstGeom>
        </xdr:spPr>
      </xdr:pic>
      <xdr:grpSp>
        <xdr:nvGrpSpPr>
          <xdr:cNvPr id="32" name="Group 31">
            <a:extLst>
              <a:ext uri="{FF2B5EF4-FFF2-40B4-BE49-F238E27FC236}">
                <a16:creationId xmlns:a16="http://schemas.microsoft.com/office/drawing/2014/main" id="{51BDF716-1D30-45A0-972C-FE9CF721DA84}"/>
              </a:ext>
            </a:extLst>
          </xdr:cNvPr>
          <xdr:cNvGrpSpPr/>
        </xdr:nvGrpSpPr>
        <xdr:grpSpPr>
          <a:xfrm>
            <a:off x="2864782" y="59439"/>
            <a:ext cx="9282852" cy="593063"/>
            <a:chOff x="2864782" y="59439"/>
            <a:chExt cx="9282852" cy="659235"/>
          </a:xfrm>
        </xdr:grpSpPr>
        <xdr:sp macro="" textlink="">
          <xdr:nvSpPr>
            <xdr:cNvPr id="33" name="TextBox 32">
              <a:extLst>
                <a:ext uri="{FF2B5EF4-FFF2-40B4-BE49-F238E27FC236}">
                  <a16:creationId xmlns:a16="http://schemas.microsoft.com/office/drawing/2014/main" id="{8973C476-BDDF-4B3F-BB2F-0B342388F3A4}"/>
                </a:ext>
              </a:extLst>
            </xdr:cNvPr>
            <xdr:cNvSpPr txBox="1"/>
          </xdr:nvSpPr>
          <xdr:spPr>
            <a:xfrm>
              <a:off x="2864782" y="59439"/>
              <a:ext cx="9268850" cy="5528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b="1">
                  <a:solidFill>
                    <a:schemeClr val="bg1"/>
                  </a:solidFill>
                  <a:latin typeface="Roboto" panose="02000000000000000000" pitchFamily="2" charset="0"/>
                  <a:ea typeface="Roboto" panose="02000000000000000000" pitchFamily="2" charset="0"/>
                </a:rPr>
                <a:t>B-INTACT</a:t>
              </a:r>
            </a:p>
          </xdr:txBody>
        </xdr:sp>
        <xdr:sp macro="" textlink="">
          <xdr:nvSpPr>
            <xdr:cNvPr id="34" name="TextBox 33">
              <a:extLst>
                <a:ext uri="{FF2B5EF4-FFF2-40B4-BE49-F238E27FC236}">
                  <a16:creationId xmlns:a16="http://schemas.microsoft.com/office/drawing/2014/main" id="{1CA7D59E-FC73-498E-A412-6615D0134586}"/>
                </a:ext>
              </a:extLst>
            </xdr:cNvPr>
            <xdr:cNvSpPr txBox="1"/>
          </xdr:nvSpPr>
          <xdr:spPr>
            <a:xfrm>
              <a:off x="2878784" y="401346"/>
              <a:ext cx="9268850" cy="3173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0">
                  <a:solidFill>
                    <a:schemeClr val="bg1"/>
                  </a:solidFill>
                  <a:latin typeface="Roboto light" panose="02000000000000000000" pitchFamily="2" charset="0"/>
                  <a:ea typeface="Roboto light" panose="02000000000000000000" pitchFamily="2" charset="0"/>
                </a:rPr>
                <a:t>Biodiversity Integrated</a:t>
              </a:r>
              <a:r>
                <a:rPr lang="en-US" sz="1400" b="0" baseline="0">
                  <a:solidFill>
                    <a:schemeClr val="bg1"/>
                  </a:solidFill>
                  <a:latin typeface="Roboto light" panose="02000000000000000000" pitchFamily="2" charset="0"/>
                  <a:ea typeface="Roboto light" panose="02000000000000000000" pitchFamily="2" charset="0"/>
                </a:rPr>
                <a:t> Assessment and Computation Tool</a:t>
              </a:r>
              <a:endParaRPr lang="en-US" sz="1400" b="0">
                <a:solidFill>
                  <a:schemeClr val="bg1"/>
                </a:solidFill>
                <a:latin typeface="Roboto light" panose="02000000000000000000" pitchFamily="2" charset="0"/>
                <a:ea typeface="Roboto light" panose="02000000000000000000" pitchFamily="2" charset="0"/>
              </a:endParaRPr>
            </a:p>
          </xdr:txBody>
        </xdr:sp>
      </xdr:grpSp>
    </xdr:grpSp>
    <xdr:clientData/>
  </xdr:twoCellAnchor>
</xdr:wsDr>
</file>

<file path=xl/persons/person.xml><?xml version="1.0" encoding="utf-8"?>
<personList xmlns="http://schemas.microsoft.com/office/spreadsheetml/2018/threadedcomments" xmlns:x="http://schemas.openxmlformats.org/spreadsheetml/2006/main">
  <person displayName="Audebert, Philip (ESA)" id="{0D8016E0-6D8B-4A74-A7FC-F4673AA62A1D}" userId="Audebert, Philip (ESA)" providerId="None"/>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6000000}" name="Table712" displayName="Table712" ref="A1:C31" totalsRowShown="0">
  <autoFilter ref="A1:C31" xr:uid="{00000000-0009-0000-0100-00000B000000}"/>
  <sortState xmlns:xlrd2="http://schemas.microsoft.com/office/spreadsheetml/2017/richdata2" ref="A2:C31">
    <sortCondition ref="B1:B31"/>
  </sortState>
  <tableColumns count="3">
    <tableColumn id="1" xr3:uid="{00000000-0010-0000-0600-000001000000}" name="Fragmentation">
      <calculatedColumnFormula>IF('Biodiversity Assessment'!K18="?","Artificial",'Biodiversity Assessment'!K18)</calculatedColumnFormula>
    </tableColumn>
    <tableColumn id="2" xr3:uid="{00000000-0010-0000-0600-000002000000}" name="Patches" dataDxfId="32">
      <calculatedColumnFormula>'Biodiversity Assessment'!E18</calculatedColumnFormula>
    </tableColumn>
    <tableColumn id="3" xr3:uid="{00000000-0010-0000-0600-000003000000}" name="Area" dataDxfId="31">
      <calculatedColumnFormula>'Biodiversity Assessment'!M18</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7000000}" name="Table77" displayName="Table77" ref="A1:C31" totalsRowShown="0">
  <autoFilter ref="A1:C31" xr:uid="{00000000-0009-0000-0100-000006000000}"/>
  <sortState xmlns:xlrd2="http://schemas.microsoft.com/office/spreadsheetml/2017/richdata2" ref="A2:C31">
    <sortCondition ref="B1:B31"/>
  </sortState>
  <tableColumns count="3">
    <tableColumn id="1" xr3:uid="{00000000-0010-0000-0700-000001000000}" name="Fragmentation">
      <calculatedColumnFormula>IF('Biodiversity Assessment'!S18="?","Artificial",'Biodiversity Assessment'!S18)</calculatedColumnFormula>
    </tableColumn>
    <tableColumn id="2" xr3:uid="{00000000-0010-0000-0700-000002000000}" name="Patches" dataDxfId="30">
      <calculatedColumnFormula>'Biodiversity Assessment'!E18</calculatedColumnFormula>
    </tableColumn>
    <tableColumn id="3" xr3:uid="{00000000-0010-0000-0700-000003000000}" name="Area" dataDxfId="29">
      <calculatedColumnFormula>'Biodiversity Assessment'!U18</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4" displayName="Table4" ref="B2:B18" totalsRowShown="0">
  <autoFilter ref="B2:B18" xr:uid="{00000000-0009-0000-0100-000001000000}"/>
  <tableColumns count="1">
    <tableColumn id="1" xr3:uid="{00000000-0010-0000-0000-000001000000}" name="Climate Regime"/>
  </tableColumns>
  <tableStyleInfo name="TableStyleMedium1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5" displayName="Table5" ref="C2:C9" totalsRowShown="0">
  <autoFilter ref="C2:C9" xr:uid="{00000000-0009-0000-0100-000002000000}"/>
  <tableColumns count="1">
    <tableColumn id="1" xr3:uid="{00000000-0010-0000-0100-000001000000}" name="Soil Regime"/>
  </tableColumns>
  <tableStyleInfo name="TableStyleMedium1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6" displayName="Table6" ref="D2:D9" totalsRowShown="0">
  <autoFilter ref="D2:D9" xr:uid="{00000000-0009-0000-0100-000003000000}"/>
  <tableColumns count="1">
    <tableColumn id="1" xr3:uid="{00000000-0010-0000-0200-000001000000}" name="Soil Class (Bouwman et al. 2002)"/>
  </tableColumns>
  <tableStyleInfo name="TableStyleMedium17"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3000000}" name="Table11" displayName="Table11" ref="K2:K9" totalsRowShown="0">
  <autoFilter ref="K2:K9" xr:uid="{00000000-0009-0000-0100-000008000000}"/>
  <tableColumns count="1">
    <tableColumn id="1" xr3:uid="{00000000-0010-0000-0300-000001000000}" name="Fragmentation"/>
  </tableColumns>
  <tableStyleInfo name="TableStyleMedium2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4000000}" name="Table12" displayName="Table12" ref="L2:L9" totalsRowShown="0">
  <autoFilter ref="L2:L9" xr:uid="{00000000-0009-0000-0100-000009000000}"/>
  <tableColumns count="1">
    <tableColumn id="1" xr3:uid="{00000000-0010-0000-0400-000001000000}" name="MSA(F)" dataDxfId="28"/>
  </tableColumns>
  <tableStyleInfo name="TableStyleMedium2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5000000}" name="Table15" displayName="Table15" ref="N2:S47" totalsRowShown="0" dataDxfId="27">
  <autoFilter ref="N2:S47" xr:uid="{00000000-0009-0000-0100-00000A000000}"/>
  <tableColumns count="6">
    <tableColumn id="1" xr3:uid="{00000000-0010-0000-0500-000001000000}" name="Climate moisture" dataDxfId="26"/>
    <tableColumn id="2" xr3:uid="{00000000-0010-0000-0500-000002000000}" name="Land use" dataDxfId="25"/>
    <tableColumn id="3" xr3:uid="{00000000-0010-0000-0500-000003000000}" name="Bouwman et al. classification" dataDxfId="24"/>
    <tableColumn id="4" xr3:uid="{00000000-0010-0000-0500-000004000000}" name="Soil class 1" dataDxfId="23"/>
    <tableColumn id="5" xr3:uid="{00000000-0010-0000-0500-000005000000}" name="Soil class 2" dataDxfId="22"/>
    <tableColumn id="6" xr3:uid="{00000000-0010-0000-0500-000006000000}" name="Soil class 3" dataDxfId="21"/>
  </tableColumns>
  <tableStyleInfo name="TableStyleLight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11" dT="2020-04-21T14:37:59.66" personId="{0D8016E0-6D8B-4A74-A7FC-F4673AA62A1D}" id="{830F5E1F-EF90-44EA-AB13-54DDB0193AB2}">
    <text>Could provide options with bare areas: floodplains, rivers?</text>
  </threadedComment>
</ThreadedComments>
</file>

<file path=xl/threadedComments/threadedComment2.xml><?xml version="1.0" encoding="utf-8"?>
<ThreadedComments xmlns="http://schemas.microsoft.com/office/spreadsheetml/2018/threadedcomments" xmlns:x="http://schemas.openxmlformats.org/spreadsheetml/2006/main">
  <threadedComment ref="G181" dT="2020-04-24T14:59:12.85" personId="{0D8016E0-6D8B-4A74-A7FC-F4673AA62A1D}" id="{F4D3C2AE-5671-4483-B316-25A062A32296}">
    <text>These values are estimated by taking the average of the predominant grassland system values and the cropland system values.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6">
    <tabColor theme="0"/>
  </sheetPr>
  <dimension ref="A1:AF47"/>
  <sheetViews>
    <sheetView tabSelected="1" zoomScale="70" zoomScaleNormal="64" workbookViewId="0">
      <selection activeCell="Z26" sqref="Z26"/>
    </sheetView>
  </sheetViews>
  <sheetFormatPr defaultColWidth="9.1796875" defaultRowHeight="12.5" x14ac:dyDescent="0.25"/>
  <cols>
    <col min="1" max="2" width="9.1796875" style="19"/>
    <col min="3" max="3" width="3.1796875" style="19" customWidth="1"/>
    <col min="4" max="4" width="11.54296875" style="19" bestFit="1" customWidth="1"/>
    <col min="5" max="16384" width="9.1796875" style="19"/>
  </cols>
  <sheetData>
    <row r="1" spans="1:32" s="18" customFormat="1" ht="15" customHeight="1" x14ac:dyDescent="0.25">
      <c r="A1" s="17"/>
      <c r="F1" s="393"/>
      <c r="G1" s="393"/>
      <c r="H1" s="393"/>
      <c r="I1" s="393"/>
      <c r="J1" s="393"/>
      <c r="K1" s="393"/>
      <c r="L1" s="393"/>
      <c r="M1" s="393"/>
      <c r="N1" s="393"/>
      <c r="O1" s="393"/>
      <c r="P1" s="393"/>
      <c r="Q1" s="393"/>
      <c r="R1" s="393"/>
      <c r="S1" s="393"/>
      <c r="T1" s="393"/>
      <c r="U1" s="393"/>
      <c r="V1" s="393"/>
      <c r="W1" s="393"/>
      <c r="X1" s="125"/>
      <c r="Y1" s="17"/>
      <c r="Z1" s="17"/>
      <c r="AA1" s="17"/>
      <c r="AB1" s="17"/>
      <c r="AC1" s="17"/>
      <c r="AD1" s="17"/>
      <c r="AE1" s="17"/>
      <c r="AF1" s="17"/>
    </row>
    <row r="2" spans="1:32" s="18" customFormat="1" ht="15" customHeight="1" x14ac:dyDescent="0.25">
      <c r="A2" s="17"/>
      <c r="F2" s="125"/>
      <c r="G2" s="125"/>
      <c r="H2" s="125"/>
      <c r="I2" s="125"/>
      <c r="J2" s="125"/>
      <c r="K2" s="125"/>
      <c r="L2" s="125"/>
      <c r="M2" s="125"/>
      <c r="N2" s="125"/>
      <c r="O2" s="125"/>
      <c r="P2" s="125"/>
      <c r="Q2" s="125"/>
      <c r="R2" s="125"/>
      <c r="S2" s="125"/>
      <c r="T2" s="125"/>
      <c r="U2" s="125"/>
      <c r="V2" s="125"/>
      <c r="W2" s="125"/>
      <c r="X2" s="125"/>
      <c r="Y2" s="17"/>
      <c r="Z2" s="17"/>
      <c r="AA2" s="17"/>
      <c r="AB2" s="17"/>
      <c r="AC2" s="17"/>
      <c r="AD2" s="17"/>
      <c r="AE2" s="17"/>
      <c r="AF2" s="17"/>
    </row>
    <row r="3" spans="1:32" s="18" customFormat="1" ht="15" customHeight="1" x14ac:dyDescent="0.25">
      <c r="A3" s="17"/>
      <c r="F3" s="125"/>
      <c r="G3" s="125"/>
      <c r="H3" s="125"/>
      <c r="I3" s="125"/>
      <c r="J3" s="125"/>
      <c r="K3" s="125"/>
      <c r="L3" s="125"/>
      <c r="M3" s="125"/>
      <c r="N3" s="125"/>
      <c r="O3" s="125"/>
      <c r="P3" s="125"/>
      <c r="Q3" s="125"/>
      <c r="R3" s="125"/>
      <c r="S3" s="125"/>
      <c r="T3" s="125"/>
      <c r="U3" s="125"/>
      <c r="V3" s="125"/>
      <c r="W3" s="125"/>
      <c r="X3" s="125"/>
      <c r="Y3" s="17"/>
      <c r="Z3" s="17"/>
      <c r="AA3" s="17"/>
      <c r="AB3" s="17"/>
      <c r="AC3" s="17"/>
      <c r="AD3" s="17"/>
      <c r="AE3" s="17"/>
      <c r="AF3" s="17"/>
    </row>
    <row r="4" spans="1:32" s="18" customFormat="1" ht="15" customHeight="1" x14ac:dyDescent="0.25">
      <c r="A4" s="17"/>
      <c r="F4" s="125"/>
      <c r="G4" s="125"/>
      <c r="H4" s="125"/>
      <c r="I4" s="125"/>
      <c r="J4" s="125"/>
      <c r="K4" s="125"/>
      <c r="L4" s="125"/>
      <c r="M4" s="125"/>
      <c r="N4" s="125"/>
      <c r="O4" s="125"/>
      <c r="P4" s="125"/>
      <c r="Q4" s="125"/>
      <c r="R4" s="125"/>
      <c r="S4" s="125"/>
      <c r="T4" s="125"/>
      <c r="U4" s="125"/>
      <c r="V4" s="125"/>
      <c r="W4" s="125"/>
      <c r="X4" s="125"/>
      <c r="Y4" s="17"/>
      <c r="Z4" s="17"/>
      <c r="AA4" s="17"/>
      <c r="AB4" s="17"/>
      <c r="AC4" s="17"/>
      <c r="AD4" s="17"/>
      <c r="AE4" s="17"/>
      <c r="AF4" s="17"/>
    </row>
    <row r="5" spans="1:32" x14ac:dyDescent="0.25">
      <c r="A5" s="52"/>
      <c r="B5" s="52"/>
      <c r="C5" s="52"/>
      <c r="D5" s="52"/>
      <c r="E5" s="52"/>
      <c r="F5" s="52"/>
      <c r="G5" s="52"/>
      <c r="H5" s="52"/>
      <c r="I5" s="52"/>
      <c r="J5" s="52"/>
      <c r="K5" s="52"/>
      <c r="L5" s="52"/>
      <c r="M5" s="52"/>
      <c r="N5" s="52"/>
      <c r="O5" s="52"/>
    </row>
    <row r="6" spans="1:32" x14ac:dyDescent="0.25">
      <c r="A6" s="52"/>
      <c r="B6" s="52"/>
      <c r="C6" s="52"/>
      <c r="D6" s="52"/>
      <c r="E6" s="52"/>
      <c r="F6" s="52"/>
      <c r="G6" s="52"/>
      <c r="H6" s="52"/>
      <c r="I6" s="52"/>
      <c r="J6" s="52"/>
      <c r="K6" s="52"/>
      <c r="L6" s="52"/>
      <c r="M6" s="52"/>
      <c r="N6" s="52"/>
      <c r="O6" s="52"/>
    </row>
    <row r="7" spans="1:32" x14ac:dyDescent="0.25">
      <c r="A7" s="52"/>
      <c r="B7" s="52"/>
      <c r="C7" s="52"/>
      <c r="D7" s="52"/>
      <c r="E7" s="52"/>
      <c r="F7" s="52"/>
      <c r="G7" s="52"/>
      <c r="H7" s="52"/>
      <c r="I7" s="52"/>
      <c r="J7" s="52"/>
      <c r="K7" s="52"/>
      <c r="L7" s="52"/>
      <c r="M7" s="52"/>
      <c r="N7" s="52"/>
      <c r="O7" s="52"/>
    </row>
    <row r="8" spans="1:32" x14ac:dyDescent="0.25">
      <c r="A8" s="52"/>
      <c r="B8" s="20"/>
      <c r="C8" s="20"/>
      <c r="D8" s="20"/>
      <c r="E8" s="20"/>
      <c r="F8" s="20"/>
      <c r="G8" s="20"/>
      <c r="H8" s="20"/>
      <c r="I8" s="20"/>
      <c r="J8" s="20"/>
      <c r="K8" s="20"/>
      <c r="L8" s="20"/>
      <c r="M8" s="20"/>
      <c r="N8" s="52"/>
      <c r="O8" s="52"/>
    </row>
    <row r="9" spans="1:32" x14ac:dyDescent="0.25">
      <c r="A9" s="52"/>
      <c r="B9" s="20"/>
      <c r="C9" s="20"/>
      <c r="D9" s="20"/>
      <c r="E9" s="20"/>
      <c r="F9" s="20"/>
      <c r="G9" s="20"/>
      <c r="H9" s="20"/>
      <c r="I9" s="20"/>
      <c r="J9" s="20"/>
      <c r="K9" s="20"/>
      <c r="L9" s="20"/>
      <c r="M9" s="20"/>
      <c r="N9" s="52"/>
      <c r="O9" s="52"/>
    </row>
    <row r="10" spans="1:32" x14ac:dyDescent="0.25">
      <c r="A10" s="52"/>
      <c r="B10" s="20"/>
      <c r="C10" s="20"/>
      <c r="D10" s="20"/>
      <c r="E10" s="20"/>
      <c r="F10" s="20"/>
      <c r="G10" s="20"/>
      <c r="H10" s="20"/>
      <c r="I10" s="20"/>
      <c r="J10" s="20"/>
      <c r="K10" s="20"/>
      <c r="L10" s="20"/>
      <c r="M10" s="20"/>
      <c r="N10" s="52"/>
      <c r="O10" s="52"/>
    </row>
    <row r="11" spans="1:32" ht="20.5" x14ac:dyDescent="0.45">
      <c r="A11" s="52"/>
      <c r="B11" s="20"/>
      <c r="C11" s="364"/>
      <c r="D11" s="20"/>
      <c r="E11" s="20"/>
      <c r="F11" s="20"/>
      <c r="G11" s="20"/>
      <c r="H11" s="20"/>
      <c r="I11" s="20"/>
      <c r="J11" s="20"/>
      <c r="K11" s="20"/>
      <c r="L11" s="20"/>
      <c r="M11" s="20"/>
      <c r="N11" s="52"/>
      <c r="O11" s="52"/>
    </row>
    <row r="12" spans="1:32" s="52" customFormat="1" ht="12" customHeight="1" x14ac:dyDescent="0.45">
      <c r="B12" s="20"/>
      <c r="C12" s="364"/>
      <c r="D12" s="20"/>
      <c r="E12" s="20"/>
      <c r="F12" s="20"/>
      <c r="G12" s="20"/>
      <c r="H12" s="20"/>
      <c r="I12" s="20"/>
      <c r="J12" s="20"/>
      <c r="K12" s="20"/>
      <c r="L12" s="20"/>
      <c r="M12" s="20"/>
    </row>
    <row r="13" spans="1:32" x14ac:dyDescent="0.25">
      <c r="A13" s="52"/>
      <c r="B13" s="363"/>
      <c r="C13" s="20"/>
      <c r="D13" s="20"/>
      <c r="E13" s="20"/>
      <c r="F13" s="20"/>
      <c r="G13" s="20"/>
      <c r="H13" s="363"/>
      <c r="I13" s="20"/>
      <c r="J13" s="363"/>
      <c r="K13" s="20"/>
      <c r="L13" s="363"/>
      <c r="M13" s="20"/>
      <c r="N13" s="52"/>
      <c r="O13" s="52"/>
    </row>
    <row r="14" spans="1:32" s="52" customFormat="1" ht="17.5" x14ac:dyDescent="0.35">
      <c r="B14" s="363"/>
      <c r="C14" s="20"/>
      <c r="D14" s="367" t="s">
        <v>747</v>
      </c>
      <c r="E14" s="20"/>
      <c r="F14" s="20"/>
      <c r="G14" s="20"/>
      <c r="H14" s="363"/>
      <c r="I14" s="20"/>
      <c r="J14" s="363"/>
      <c r="K14" s="20"/>
      <c r="L14" s="363"/>
      <c r="M14" s="20"/>
    </row>
    <row r="15" spans="1:32" s="52" customFormat="1" ht="2.5" customHeight="1" x14ac:dyDescent="0.25">
      <c r="B15" s="363"/>
      <c r="C15" s="20"/>
      <c r="D15" s="20"/>
      <c r="E15" s="20"/>
      <c r="F15" s="20"/>
      <c r="G15" s="20"/>
      <c r="H15" s="363"/>
      <c r="I15" s="20"/>
      <c r="J15" s="363"/>
      <c r="K15" s="20"/>
      <c r="L15" s="363"/>
      <c r="M15" s="20"/>
    </row>
    <row r="16" spans="1:32" s="52" customFormat="1" ht="17.5" x14ac:dyDescent="0.35">
      <c r="B16" s="363"/>
      <c r="C16" s="20"/>
      <c r="D16" s="391" t="s">
        <v>10</v>
      </c>
      <c r="E16" s="391"/>
      <c r="F16" s="391"/>
      <c r="G16" s="20"/>
      <c r="H16" s="363"/>
      <c r="I16" s="20"/>
      <c r="J16" s="363"/>
      <c r="K16" s="20"/>
      <c r="L16" s="363"/>
      <c r="M16" s="20"/>
    </row>
    <row r="17" spans="1:15" ht="15" customHeight="1" x14ac:dyDescent="0.25">
      <c r="A17" s="52"/>
      <c r="B17" s="20"/>
      <c r="C17" s="20"/>
      <c r="D17" s="20"/>
      <c r="E17" s="20"/>
      <c r="F17" s="20"/>
      <c r="G17" s="20"/>
      <c r="H17" s="20"/>
      <c r="I17" s="20"/>
      <c r="J17" s="20"/>
      <c r="K17" s="20"/>
      <c r="L17" s="20"/>
      <c r="M17" s="20"/>
      <c r="N17" s="52"/>
      <c r="O17" s="52"/>
    </row>
    <row r="18" spans="1:15" ht="17.5" x14ac:dyDescent="0.35">
      <c r="A18" s="52"/>
      <c r="B18" s="20"/>
      <c r="C18" s="365"/>
      <c r="D18" s="367" t="s">
        <v>748</v>
      </c>
      <c r="E18" s="20"/>
      <c r="F18" s="20"/>
      <c r="G18" s="20"/>
      <c r="H18" s="20"/>
      <c r="I18" s="20"/>
      <c r="J18" s="20"/>
      <c r="K18" s="20"/>
      <c r="L18" s="20"/>
      <c r="M18" s="20"/>
      <c r="N18" s="52"/>
      <c r="O18" s="52"/>
    </row>
    <row r="19" spans="1:15" ht="2.5" customHeight="1" x14ac:dyDescent="0.25">
      <c r="A19" s="52"/>
      <c r="B19" s="20"/>
      <c r="C19" s="20"/>
      <c r="D19" s="20"/>
      <c r="E19" s="20"/>
      <c r="F19" s="20"/>
      <c r="G19" s="20"/>
      <c r="H19" s="20"/>
      <c r="I19" s="20"/>
      <c r="J19" s="20"/>
      <c r="K19" s="20"/>
      <c r="L19" s="20"/>
      <c r="M19" s="20"/>
      <c r="N19" s="52"/>
      <c r="O19" s="52"/>
    </row>
    <row r="20" spans="1:15" ht="17.5" x14ac:dyDescent="0.35">
      <c r="A20" s="52"/>
      <c r="B20" s="20"/>
      <c r="C20" s="20"/>
      <c r="D20" s="391" t="s">
        <v>10</v>
      </c>
      <c r="E20" s="391"/>
      <c r="F20" s="391"/>
      <c r="G20" s="20"/>
      <c r="H20" s="20"/>
      <c r="I20" s="20"/>
      <c r="J20" s="20"/>
      <c r="K20" s="20"/>
      <c r="L20" s="20"/>
      <c r="M20" s="20"/>
      <c r="N20" s="52"/>
      <c r="O20" s="52"/>
    </row>
    <row r="21" spans="1:15" ht="15" customHeight="1" x14ac:dyDescent="0.35">
      <c r="A21" s="52"/>
      <c r="B21" s="20"/>
      <c r="C21" s="20"/>
      <c r="D21" s="366"/>
      <c r="E21" s="20"/>
      <c r="F21" s="20"/>
      <c r="G21" s="20"/>
      <c r="H21" s="20"/>
      <c r="I21" s="20"/>
      <c r="J21" s="20"/>
      <c r="K21" s="20"/>
      <c r="L21" s="20"/>
      <c r="M21" s="20"/>
      <c r="N21" s="52"/>
      <c r="O21" s="52"/>
    </row>
    <row r="22" spans="1:15" ht="17.5" x14ac:dyDescent="0.35">
      <c r="A22" s="52"/>
      <c r="B22" s="20"/>
      <c r="C22" s="20"/>
      <c r="D22" s="367" t="s">
        <v>749</v>
      </c>
      <c r="E22" s="20"/>
      <c r="F22" s="20"/>
      <c r="G22" s="20"/>
      <c r="H22" s="20"/>
      <c r="I22" s="20"/>
      <c r="J22" s="20"/>
      <c r="K22" s="20"/>
      <c r="L22" s="20"/>
      <c r="M22" s="20"/>
      <c r="N22" s="52"/>
      <c r="O22" s="52"/>
    </row>
    <row r="23" spans="1:15" ht="2.5" customHeight="1" x14ac:dyDescent="0.25">
      <c r="A23" s="52"/>
      <c r="B23" s="20"/>
      <c r="C23" s="20"/>
      <c r="D23" s="20"/>
      <c r="E23" s="20"/>
      <c r="F23" s="20"/>
      <c r="G23" s="20"/>
      <c r="H23" s="20"/>
      <c r="I23" s="20"/>
      <c r="J23" s="20"/>
      <c r="K23" s="20"/>
      <c r="L23" s="20"/>
      <c r="M23" s="20"/>
      <c r="N23" s="52"/>
      <c r="O23" s="52"/>
    </row>
    <row r="24" spans="1:15" ht="18" x14ac:dyDescent="0.35">
      <c r="A24" s="52"/>
      <c r="B24" s="20"/>
      <c r="C24" s="20"/>
      <c r="D24" s="391" t="s">
        <v>10</v>
      </c>
      <c r="E24" s="391"/>
      <c r="F24" s="391"/>
      <c r="G24" s="368" t="str">
        <f>IF(AND(OR(D20&lt;&gt;"TROPICAL"),(D20&lt;&gt;"Please select"),D24="WET"),"Select 'Moist'"," ")</f>
        <v xml:space="preserve"> </v>
      </c>
      <c r="H24" s="20"/>
      <c r="I24" s="20"/>
      <c r="J24" s="20"/>
      <c r="K24" s="20"/>
      <c r="L24" s="20"/>
      <c r="M24" s="20"/>
      <c r="N24" s="52"/>
      <c r="O24" s="52"/>
    </row>
    <row r="25" spans="1:15" ht="15" customHeight="1" x14ac:dyDescent="0.25">
      <c r="A25" s="52"/>
      <c r="B25" s="20"/>
      <c r="C25" s="20"/>
      <c r="D25" s="20"/>
      <c r="E25" s="20"/>
      <c r="F25" s="20"/>
      <c r="G25" s="20"/>
      <c r="H25" s="20"/>
      <c r="I25" s="20"/>
      <c r="J25" s="20"/>
      <c r="K25" s="20"/>
      <c r="L25" s="20"/>
      <c r="M25" s="20"/>
      <c r="N25" s="52"/>
      <c r="O25" s="52"/>
    </row>
    <row r="26" spans="1:15" ht="17.5" x14ac:dyDescent="0.35">
      <c r="A26" s="52"/>
      <c r="B26" s="20"/>
      <c r="C26" s="20"/>
      <c r="D26" s="367" t="s">
        <v>1021</v>
      </c>
      <c r="E26" s="20"/>
      <c r="F26" s="20"/>
      <c r="G26" s="20"/>
      <c r="H26" s="20"/>
      <c r="I26" s="20"/>
      <c r="J26" s="20"/>
      <c r="K26" s="20"/>
      <c r="L26" s="20"/>
      <c r="M26" s="20"/>
      <c r="N26" s="52"/>
      <c r="O26" s="52"/>
    </row>
    <row r="27" spans="1:15" ht="2.5" customHeight="1" x14ac:dyDescent="0.25">
      <c r="A27" s="52"/>
      <c r="B27" s="20"/>
      <c r="C27" s="20"/>
      <c r="D27" s="20"/>
      <c r="E27" s="20"/>
      <c r="F27" s="20"/>
      <c r="G27" s="20"/>
      <c r="H27" s="20"/>
      <c r="I27" s="20"/>
      <c r="J27" s="20"/>
      <c r="K27" s="20"/>
      <c r="L27" s="20"/>
      <c r="M27" s="20"/>
      <c r="N27" s="52"/>
      <c r="O27" s="52"/>
    </row>
    <row r="28" spans="1:15" ht="17.5" x14ac:dyDescent="0.35">
      <c r="A28" s="52"/>
      <c r="B28" s="20"/>
      <c r="C28" s="20"/>
      <c r="D28" s="391">
        <v>0</v>
      </c>
      <c r="E28" s="391"/>
      <c r="F28" s="391"/>
      <c r="G28" s="20"/>
      <c r="H28" s="20"/>
      <c r="I28" s="20"/>
      <c r="J28" s="20"/>
      <c r="K28" s="20"/>
      <c r="L28" s="20"/>
      <c r="M28" s="20"/>
      <c r="N28" s="52"/>
      <c r="O28" s="52"/>
    </row>
    <row r="29" spans="1:15" ht="15" customHeight="1" x14ac:dyDescent="0.25">
      <c r="A29" s="52"/>
      <c r="B29" s="20"/>
      <c r="C29" s="20"/>
      <c r="D29" s="20"/>
      <c r="E29" s="20"/>
      <c r="F29" s="20"/>
      <c r="G29" s="20"/>
      <c r="H29" s="20"/>
      <c r="I29" s="20"/>
      <c r="J29" s="20"/>
      <c r="K29" s="20"/>
      <c r="L29" s="20"/>
      <c r="M29" s="20"/>
      <c r="N29" s="52"/>
      <c r="O29" s="52"/>
    </row>
    <row r="30" spans="1:15" ht="17.5" x14ac:dyDescent="0.35">
      <c r="A30" s="52"/>
      <c r="B30" s="20"/>
      <c r="C30" s="20"/>
      <c r="D30" s="367" t="s">
        <v>750</v>
      </c>
      <c r="E30" s="20"/>
      <c r="F30" s="20"/>
      <c r="G30" s="20"/>
      <c r="H30" s="20"/>
      <c r="I30" s="20"/>
      <c r="J30" s="20"/>
      <c r="K30" s="20"/>
      <c r="L30" s="20"/>
      <c r="M30" s="20"/>
      <c r="N30" s="52"/>
      <c r="O30" s="52"/>
    </row>
    <row r="31" spans="1:15" ht="2" customHeight="1" x14ac:dyDescent="0.25">
      <c r="A31" s="52"/>
      <c r="B31" s="20"/>
      <c r="C31" s="20"/>
      <c r="D31" s="20"/>
      <c r="E31" s="20"/>
      <c r="F31" s="20"/>
      <c r="G31" s="20"/>
      <c r="H31" s="20"/>
      <c r="I31" s="20"/>
      <c r="J31" s="20"/>
      <c r="K31" s="20"/>
      <c r="L31" s="20"/>
      <c r="M31" s="20"/>
      <c r="N31" s="52"/>
      <c r="O31" s="52"/>
    </row>
    <row r="32" spans="1:15" ht="17.5" x14ac:dyDescent="0.35">
      <c r="A32" s="52"/>
      <c r="B32" s="20"/>
      <c r="C32" s="20"/>
      <c r="D32" s="392" t="s">
        <v>751</v>
      </c>
      <c r="E32" s="392"/>
      <c r="F32" s="392"/>
      <c r="G32" s="20"/>
      <c r="H32" s="20"/>
      <c r="I32" s="20"/>
      <c r="J32" s="20"/>
      <c r="K32" s="20"/>
      <c r="L32" s="20"/>
      <c r="M32" s="20"/>
      <c r="N32" s="52"/>
      <c r="O32" s="52"/>
    </row>
    <row r="33" spans="1:15" x14ac:dyDescent="0.25">
      <c r="A33" s="52"/>
      <c r="B33" s="20"/>
      <c r="C33" s="20"/>
      <c r="D33" s="20"/>
      <c r="E33" s="20"/>
      <c r="F33" s="20"/>
      <c r="G33" s="20"/>
      <c r="H33" s="20"/>
      <c r="I33" s="20"/>
      <c r="J33" s="20"/>
      <c r="K33" s="20"/>
      <c r="L33" s="20"/>
      <c r="M33" s="20"/>
      <c r="N33" s="52"/>
      <c r="O33" s="52"/>
    </row>
    <row r="34" spans="1:15" x14ac:dyDescent="0.25">
      <c r="A34" s="52"/>
      <c r="B34" s="20"/>
      <c r="C34" s="20"/>
      <c r="D34" s="20"/>
      <c r="E34" s="20"/>
      <c r="F34" s="20"/>
      <c r="G34" s="20"/>
      <c r="H34" s="20"/>
      <c r="I34" s="20"/>
      <c r="J34" s="20"/>
      <c r="K34" s="20"/>
      <c r="L34" s="20"/>
      <c r="M34" s="20"/>
      <c r="N34" s="52"/>
      <c r="O34" s="52"/>
    </row>
    <row r="35" spans="1:15" x14ac:dyDescent="0.25">
      <c r="A35" s="52"/>
      <c r="B35" s="20"/>
      <c r="C35" s="20"/>
      <c r="D35" s="20"/>
      <c r="E35" s="20"/>
      <c r="F35" s="20"/>
      <c r="G35" s="20"/>
      <c r="H35" s="20"/>
      <c r="I35" s="20"/>
      <c r="J35" s="20"/>
      <c r="K35" s="20"/>
      <c r="L35" s="20"/>
      <c r="M35" s="20"/>
      <c r="N35" s="52"/>
      <c r="O35" s="52"/>
    </row>
    <row r="36" spans="1:15" x14ac:dyDescent="0.25">
      <c r="A36" s="52"/>
      <c r="B36" s="20"/>
      <c r="C36" s="20"/>
      <c r="D36" s="20"/>
      <c r="E36" s="20"/>
      <c r="F36" s="20"/>
      <c r="G36" s="20"/>
      <c r="H36" s="20"/>
      <c r="I36" s="20"/>
      <c r="J36" s="20"/>
      <c r="K36" s="20"/>
      <c r="L36" s="20"/>
      <c r="M36" s="20"/>
      <c r="N36" s="52"/>
      <c r="O36" s="52"/>
    </row>
    <row r="37" spans="1:15" x14ac:dyDescent="0.25">
      <c r="A37" s="52"/>
      <c r="B37" s="20"/>
      <c r="C37" s="20"/>
      <c r="D37" s="20"/>
      <c r="E37" s="20"/>
      <c r="F37" s="20"/>
      <c r="G37" s="20"/>
      <c r="H37" s="20"/>
      <c r="I37" s="20"/>
      <c r="J37" s="20"/>
      <c r="K37" s="20"/>
      <c r="L37" s="20"/>
      <c r="M37" s="20"/>
      <c r="N37" s="52"/>
      <c r="O37" s="52"/>
    </row>
    <row r="38" spans="1:15" x14ac:dyDescent="0.25">
      <c r="A38" s="52"/>
      <c r="B38" s="20"/>
      <c r="C38" s="20"/>
      <c r="D38" s="20"/>
      <c r="E38" s="20"/>
      <c r="F38" s="20"/>
      <c r="G38" s="20"/>
      <c r="H38" s="20"/>
      <c r="I38" s="20"/>
      <c r="J38" s="20"/>
      <c r="K38" s="20"/>
      <c r="L38" s="20"/>
      <c r="M38" s="20"/>
      <c r="N38" s="52"/>
      <c r="O38" s="52"/>
    </row>
    <row r="39" spans="1:15" x14ac:dyDescent="0.25">
      <c r="A39" s="52"/>
      <c r="B39" s="20"/>
      <c r="C39" s="20"/>
      <c r="D39" s="20"/>
      <c r="E39" s="20"/>
      <c r="F39" s="20"/>
      <c r="G39" s="20"/>
      <c r="H39" s="20"/>
      <c r="I39" s="20"/>
      <c r="J39" s="20"/>
      <c r="K39" s="20"/>
      <c r="L39" s="20"/>
      <c r="M39" s="20"/>
      <c r="N39" s="52"/>
      <c r="O39" s="52"/>
    </row>
    <row r="40" spans="1:15" x14ac:dyDescent="0.25">
      <c r="A40" s="52"/>
      <c r="B40" s="20"/>
      <c r="C40" s="20"/>
      <c r="D40" s="20"/>
      <c r="E40" s="20"/>
      <c r="F40" s="20"/>
      <c r="G40" s="20"/>
      <c r="H40" s="20"/>
      <c r="I40" s="20"/>
      <c r="J40" s="20"/>
      <c r="K40" s="20"/>
      <c r="L40" s="20"/>
      <c r="M40" s="20"/>
      <c r="N40" s="52"/>
      <c r="O40" s="52"/>
    </row>
    <row r="41" spans="1:15" x14ac:dyDescent="0.25">
      <c r="A41" s="52"/>
      <c r="B41" s="52"/>
      <c r="C41" s="52"/>
      <c r="D41" s="52"/>
      <c r="E41" s="52"/>
      <c r="F41" s="52"/>
      <c r="G41" s="52"/>
      <c r="H41" s="52"/>
      <c r="I41" s="52"/>
      <c r="J41" s="52"/>
      <c r="K41" s="52"/>
      <c r="L41" s="52"/>
      <c r="M41" s="52"/>
      <c r="N41" s="52"/>
      <c r="O41" s="52"/>
    </row>
    <row r="42" spans="1:15" x14ac:dyDescent="0.25">
      <c r="A42" s="52"/>
      <c r="B42" s="52"/>
      <c r="C42" s="52"/>
      <c r="D42" s="52"/>
      <c r="E42" s="52"/>
      <c r="F42" s="52"/>
      <c r="G42" s="52"/>
      <c r="H42" s="52"/>
      <c r="I42" s="52"/>
      <c r="J42" s="52"/>
      <c r="K42" s="52"/>
      <c r="L42" s="52"/>
      <c r="M42" s="52"/>
      <c r="N42" s="52"/>
      <c r="O42" s="52"/>
    </row>
    <row r="43" spans="1:15" x14ac:dyDescent="0.25">
      <c r="A43" s="52"/>
      <c r="B43" s="52"/>
      <c r="C43" s="52"/>
      <c r="D43" s="52"/>
      <c r="E43" s="52"/>
      <c r="F43" s="52"/>
      <c r="G43" s="52"/>
      <c r="H43" s="52"/>
      <c r="I43" s="52"/>
      <c r="J43" s="52"/>
      <c r="K43" s="52"/>
      <c r="L43" s="52"/>
      <c r="M43" s="52"/>
      <c r="N43" s="52"/>
      <c r="O43" s="52"/>
    </row>
    <row r="44" spans="1:15" x14ac:dyDescent="0.25">
      <c r="A44" s="52"/>
      <c r="B44" s="52"/>
      <c r="C44" s="52"/>
      <c r="D44" s="52"/>
      <c r="E44" s="52"/>
      <c r="F44" s="52"/>
      <c r="G44" s="52"/>
      <c r="H44" s="52"/>
      <c r="I44" s="52"/>
      <c r="J44" s="52"/>
      <c r="K44" s="52"/>
      <c r="L44" s="52"/>
      <c r="M44" s="52"/>
      <c r="N44" s="52"/>
      <c r="O44" s="52"/>
    </row>
    <row r="45" spans="1:15" x14ac:dyDescent="0.25">
      <c r="A45" s="52"/>
      <c r="B45" s="52"/>
      <c r="C45" s="52"/>
      <c r="D45" s="52"/>
      <c r="E45" s="52"/>
      <c r="F45" s="52"/>
      <c r="G45" s="52"/>
      <c r="H45" s="52"/>
      <c r="I45" s="52"/>
      <c r="J45" s="52"/>
      <c r="K45" s="52"/>
      <c r="L45" s="52"/>
      <c r="M45" s="52"/>
      <c r="N45" s="52"/>
      <c r="O45" s="52"/>
    </row>
    <row r="46" spans="1:15" x14ac:dyDescent="0.25">
      <c r="A46" s="52"/>
      <c r="B46" s="52"/>
      <c r="C46" s="52"/>
      <c r="D46" s="52"/>
      <c r="E46" s="52"/>
      <c r="F46" s="52"/>
      <c r="G46" s="52"/>
      <c r="H46" s="52"/>
      <c r="I46" s="52"/>
      <c r="J46" s="52"/>
      <c r="K46" s="52"/>
      <c r="L46" s="52"/>
      <c r="M46" s="52"/>
      <c r="N46" s="52"/>
      <c r="O46" s="52"/>
    </row>
    <row r="47" spans="1:15" x14ac:dyDescent="0.25">
      <c r="A47" s="52"/>
      <c r="B47" s="52"/>
      <c r="C47" s="52"/>
      <c r="D47" s="52"/>
      <c r="E47" s="52"/>
      <c r="F47" s="52"/>
      <c r="G47" s="52"/>
      <c r="H47" s="52"/>
      <c r="I47" s="52"/>
      <c r="J47" s="52"/>
      <c r="K47" s="52"/>
      <c r="L47" s="52"/>
      <c r="M47" s="52"/>
      <c r="N47" s="52"/>
      <c r="O47" s="52"/>
    </row>
  </sheetData>
  <sheetProtection algorithmName="SHA-512" hashValue="BMD/jVpRO//VESx5TvrI7tGhwJ9myr68oT43x71jqjU4oXSyY8rvgu+3mbMztieMpAesQkQonwFKq/jhaS2tXg==" saltValue="J1G6EoCMN8qnRtXEZAxGYg==" spinCount="100000" sheet="1" objects="1" scenarios="1"/>
  <protectedRanges>
    <protectedRange sqref="F43 D16 D20 D24 D28" name="Context variables"/>
  </protectedRanges>
  <mergeCells count="6">
    <mergeCell ref="D28:F28"/>
    <mergeCell ref="D32:F32"/>
    <mergeCell ref="D16:F16"/>
    <mergeCell ref="F1:W1"/>
    <mergeCell ref="D20:F20"/>
    <mergeCell ref="D24:F24"/>
  </mergeCells>
  <dataValidations count="1">
    <dataValidation type="list" allowBlank="1" showInputMessage="1" sqref="D16:F16" xr:uid="{D2540E90-64EB-4783-BE4D-AA84488BED90}">
      <formula1>Country_validationlist</formula1>
    </dataValidation>
  </dataValidations>
  <hyperlinks>
    <hyperlink ref="D32:F32" location="Help!A1" display="Click here" xr:uid="{158693B7-8812-4938-909D-9D02789DEC53}"/>
  </hyperlinks>
  <pageMargins left="0.7" right="0.7" top="0.75" bottom="0.75" header="0.3" footer="0.3"/>
  <pageSetup orientation="portrait" horizontalDpi="300" verticalDpi="30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87752EA5-DE41-47D5-A27F-75E0F95C4EA0}">
          <x14:formula1>
            <xm:f>'Context variables'!$E$2:$E$5</xm:f>
          </x14:formula1>
          <xm:sqref>D24:F24</xm:sqref>
        </x14:dataValidation>
        <x14:dataValidation type="list" allowBlank="1" showInputMessage="1" showErrorMessage="1" xr:uid="{86BAEAE3-466D-4BB9-9762-2AD7B5BA6734}">
          <x14:formula1>
            <xm:f>'Context variables'!$D$2:$D$6</xm:f>
          </x14:formula1>
          <xm:sqref>D20:F20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A9FB5-B51C-4B14-B1DD-327BD782FFFB}">
  <sheetPr>
    <tabColor theme="0"/>
  </sheetPr>
  <dimension ref="A1:AG37"/>
  <sheetViews>
    <sheetView zoomScale="106" workbookViewId="0">
      <pane xSplit="3" ySplit="1" topLeftCell="D2" activePane="bottomRight" state="frozen"/>
      <selection pane="topRight" activeCell="D1" sqref="D1"/>
      <selection pane="bottomLeft" activeCell="A2" sqref="A2"/>
      <selection pane="bottomRight" activeCell="K33" sqref="K33"/>
    </sheetView>
  </sheetViews>
  <sheetFormatPr defaultRowHeight="12.5" x14ac:dyDescent="0.25"/>
  <cols>
    <col min="1" max="3" width="8.7265625" style="8"/>
    <col min="4" max="4" width="26.08984375" style="8" bestFit="1" customWidth="1"/>
    <col min="5" max="5" width="35.54296875" style="8" bestFit="1" customWidth="1"/>
    <col min="6" max="6" width="26.36328125" style="8" bestFit="1" customWidth="1"/>
    <col min="7" max="9" width="10.6328125" style="8" bestFit="1" customWidth="1"/>
    <col min="10" max="10" width="10.6328125" style="8" customWidth="1"/>
    <col min="11" max="11" width="20.1796875" style="8" bestFit="1" customWidth="1"/>
    <col min="12" max="14" width="10.6328125" style="8" hidden="1" customWidth="1"/>
    <col min="15" max="15" width="15.90625" style="8" hidden="1" customWidth="1"/>
    <col min="16" max="16" width="20.90625" style="8" hidden="1" customWidth="1"/>
    <col min="17" max="17" width="8.7265625" style="8"/>
    <col min="18" max="19" width="14.26953125" style="8" bestFit="1" customWidth="1"/>
    <col min="20" max="20" width="20.7265625" style="8" bestFit="1" customWidth="1"/>
    <col min="21" max="23" width="10.6328125" style="8" bestFit="1" customWidth="1"/>
    <col min="24" max="24" width="10.6328125" style="8" customWidth="1"/>
    <col min="25" max="25" width="20.1796875" style="8" bestFit="1" customWidth="1"/>
    <col min="26" max="28" width="10.6328125" style="8" hidden="1" customWidth="1"/>
    <col min="29" max="29" width="12.7265625" style="8" hidden="1" customWidth="1"/>
    <col min="30" max="30" width="40.81640625" style="8" hidden="1" customWidth="1"/>
    <col min="31" max="32" width="8.7265625" style="8"/>
    <col min="33" max="33" width="28.36328125" style="8" bestFit="1" customWidth="1"/>
    <col min="34" max="16384" width="8.7265625" style="8"/>
  </cols>
  <sheetData>
    <row r="1" spans="1:33" s="110" customFormat="1" ht="18.5" x14ac:dyDescent="0.45">
      <c r="A1" s="104"/>
      <c r="B1" s="455" t="s">
        <v>26</v>
      </c>
      <c r="C1" s="455"/>
      <c r="D1" s="455"/>
      <c r="E1" s="455"/>
      <c r="F1" s="455"/>
      <c r="G1" s="455"/>
      <c r="H1" s="455"/>
      <c r="I1" s="455"/>
      <c r="J1" s="455"/>
      <c r="K1" s="455"/>
      <c r="L1" s="455"/>
      <c r="M1" s="455"/>
      <c r="N1" s="455"/>
      <c r="O1" s="455"/>
      <c r="P1" s="455"/>
      <c r="R1" s="455"/>
      <c r="S1" s="455"/>
      <c r="T1" s="455"/>
      <c r="U1" s="455"/>
      <c r="V1" s="455"/>
      <c r="W1" s="455"/>
      <c r="X1" s="455"/>
      <c r="Y1" s="455"/>
      <c r="Z1" s="455"/>
      <c r="AA1" s="455"/>
      <c r="AB1" s="455"/>
      <c r="AC1" s="455"/>
      <c r="AD1" s="455"/>
      <c r="AG1" s="112"/>
    </row>
    <row r="2" spans="1:33" s="110" customFormat="1" ht="10.5" x14ac:dyDescent="0.25">
      <c r="A2" s="105" t="s">
        <v>13</v>
      </c>
      <c r="B2" s="105" t="s">
        <v>157</v>
      </c>
      <c r="C2" s="105" t="s">
        <v>185</v>
      </c>
      <c r="D2" s="105" t="s">
        <v>673</v>
      </c>
      <c r="E2" s="105" t="s">
        <v>674</v>
      </c>
      <c r="F2" s="105" t="s">
        <v>675</v>
      </c>
      <c r="G2" s="120" t="s">
        <v>677</v>
      </c>
      <c r="H2" s="120" t="s">
        <v>678</v>
      </c>
      <c r="I2" s="120" t="s">
        <v>679</v>
      </c>
      <c r="J2" s="120" t="s">
        <v>682</v>
      </c>
      <c r="K2" s="120" t="s">
        <v>684</v>
      </c>
      <c r="L2" s="105" t="s">
        <v>685</v>
      </c>
      <c r="M2" s="105" t="s">
        <v>686</v>
      </c>
      <c r="N2" s="105" t="s">
        <v>687</v>
      </c>
      <c r="O2" s="106" t="s">
        <v>688</v>
      </c>
      <c r="P2" s="105" t="s">
        <v>689</v>
      </c>
      <c r="R2" s="105" t="s">
        <v>673</v>
      </c>
      <c r="S2" s="105" t="s">
        <v>674</v>
      </c>
      <c r="T2" s="105" t="s">
        <v>675</v>
      </c>
      <c r="U2" s="120" t="s">
        <v>677</v>
      </c>
      <c r="V2" s="120" t="s">
        <v>691</v>
      </c>
      <c r="W2" s="120" t="s">
        <v>690</v>
      </c>
      <c r="X2" s="120" t="s">
        <v>682</v>
      </c>
      <c r="Y2" s="120" t="s">
        <v>684</v>
      </c>
      <c r="Z2" s="105" t="s">
        <v>685</v>
      </c>
      <c r="AA2" s="105" t="s">
        <v>686</v>
      </c>
      <c r="AB2" s="105" t="s">
        <v>687</v>
      </c>
      <c r="AC2" s="106" t="s">
        <v>688</v>
      </c>
      <c r="AD2" s="105" t="s">
        <v>689</v>
      </c>
      <c r="AG2" s="121" t="s">
        <v>692</v>
      </c>
    </row>
    <row r="3" spans="1:33" s="110" customFormat="1" ht="10.5" x14ac:dyDescent="0.25">
      <c r="A3" s="107" t="s">
        <v>208</v>
      </c>
      <c r="B3" s="108" t="str">
        <f>IF(Start!$D$28&gt;1000,CONCATENATE(Start!$D$20," Mountain"),Start!$D$20)</f>
        <v>Please select</v>
      </c>
      <c r="C3" s="108" t="str">
        <f>Start!$D$24</f>
        <v>Please select</v>
      </c>
      <c r="D3" s="109" t="str">
        <f>'Biodiversity Assessment'!G18</f>
        <v>Select land use</v>
      </c>
      <c r="E3" s="109" t="str">
        <f>IF(OR(D3=Data!$E$4,D3=Data!$E$5,D3=Data!$E$6,D3=Data!$E$7),Data!$E$4,IF(OR(D3=Data!$E$9,D3=Data!$E$10,D3=Data!$E$11),Data!$E$9,IF(OR(D3=Data!$E$12,D3=Data!$E$13,D3=Data!$E$14),"Cropland",IF(OR(D3=Data!$E$16,D3=Data!$E$17),"Agroforestry",D3))))</f>
        <v>Select land use</v>
      </c>
      <c r="F3" s="109" t="str">
        <f>CONCATENATE($B$3,$C$3,E3)</f>
        <v>Please selectPlease selectSelect land use</v>
      </c>
      <c r="G3" s="122">
        <f>IFERROR(IF(E3='ESVD - Land Use &amp; Climate Match'!$A$1,IF('Biodiversity Assessment'!$J$102&gt;0,'Biodiversity Assessment'!$J$102*VLOOKUP('ESVD - Social Value of Bio'!F3&amp;"1",'ESVD - SUMMARY TABLE'!$E$2:$G$294,3,),0)+IF('Biodiversity Assessment'!$J$103&gt;0,'Biodiversity Assessment'!$J$103*VLOOKUP('ESVD - Social Value of Bio'!F3&amp;"2",'ESVD - SUMMARY TABLE'!$E$2:$G$294,3,),0)+IF('Biodiversity Assessment'!$J$104&gt;0,'Biodiversity Assessment'!$J$104*VLOOKUP('ESVD - Social Value of Bio'!F3&amp;"3",'ESVD - SUMMARY TABLE'!$E$2:$G$294,3,),0)+IF('Biodiversity Assessment'!$J$105&gt;0,'Biodiversity Assessment'!$J$105*VLOOKUP('ESVD - Social Value of Bio'!F3&amp;"4",'ESVD - SUMMARY TABLE'!$E$2:$G$294,3,),0),IF(E3='ESVD - Land Use &amp; Climate Match'!$A$11,IF('Biodiversity Assessment'!$Z$102&gt;0,'Biodiversity Assessment'!$Z$102*VLOOKUP('ESVD - Social Value of Bio'!F3&amp;"1",'ESVD - SUMMARY TABLE'!$E$2:$G$294,3,FALSE),0)+IF('Biodiversity Assessment'!$Z$103&gt;0,'Biodiversity Assessment'!$Z$103*VLOOKUP('ESVD - Social Value of Bio'!F3&amp;"2",'ESVD - SUMMARY TABLE'!$E$2:$G$294,3,FALSE),0)+IF('Biodiversity Assessment'!$Z$104&gt;0,'Biodiversity Assessment'!$Z$104*VLOOKUP('ESVD - Social Value of Bio'!F3&amp;"3",'ESVD - SUMMARY TABLE'!$E$2:$G$294,3,FALSE),0)+IF('Biodiversity Assessment'!$Z$105&gt;0,'Biodiversity Assessment'!$Z$105*VLOOKUP('ESVD - Social Value of Bio'!F3&amp;"4",'ESVD - SUMMARY TABLE'!$E$2:$G$294,3,FALSE),0),IF(E3='ESVD - Land Use &amp; Climate Match'!$A$32,IF('Biodiversity Assessment'!$BD$102&gt;0,'Biodiversity Assessment'!$BD$102*VLOOKUP('ESVD - Social Value of Bio'!F3&amp;"1",'ESVD - SUMMARY TABLE'!$E$2:$G$294,3,FALSE),0)+IF('Biodiversity Assessment'!$BD$103&gt;0,'Biodiversity Assessment'!$BD$103*VLOOKUP('ESVD - Social Value of Bio'!F3&amp;"2",'ESVD - SUMMARY TABLE'!$E$2:$G$294,3,FALSE),0)+IF('Biodiversity Assessment'!$BD$104&gt;0,'Biodiversity Assessment'!$BD$104*VLOOKUP('ESVD - Social Value of Bio'!F3&amp;"3",'ESVD - SUMMARY TABLE'!$E$2:$G$294,3,FALSE),0)+IF('Biodiversity Assessment'!$BD$105&gt;0,'Biodiversity Assessment'!$BD$105*VLOOKUP('ESVD - Social Value of Bio'!F3&amp;"4",'ESVD - SUMMARY TABLE'!$E$2:$G$294,3,FALSE),0)+IF('Biodiversity Assessment'!$BD$106&gt;0,'Biodiversity Assessment'!$BD$106*VLOOKUP('ESVD - Social Value of Bio'!F3&amp;"5",'ESVD - SUMMARY TABLE'!$E$2:$G$294,3,FALSE),0),AVERAGE(IF('Biodiversity Assessment'!$J$102&gt;0,'Biodiversity Assessment'!$J$102*VLOOKUP(CONCATENATE($B3,$C3,'ESVD - Land Use &amp; Climate Match'!$A$1)&amp;"1",'ESVD - SUMMARY TABLE'!$E$2:$G$294,3,),0)+IF('Biodiversity Assessment'!$J$103&gt;0,'Biodiversity Assessment'!$J$103*VLOOKUP(CONCATENATE($B3,$C3,'ESVD - Land Use &amp; Climate Match'!$A$1)&amp;"2",'ESVD - SUMMARY TABLE'!$E$2:$G$294,3,),0)+IF('Biodiversity Assessment'!$J$104&gt;0,'Biodiversity Assessment'!$J$104*VLOOKUP(CONCATENATE($B3,$C3,'ESVD - Land Use &amp; Climate Match'!$A$1)&amp;"3",'ESVD - SUMMARY TABLE'!$E$2:$G$294,3,),0)+IF('Biodiversity Assessment'!$J$105&gt;0,'Biodiversity Assessment'!$J$105*VLOOKUP(CONCATENATE($B3,$C3,'ESVD - Land Use &amp; Climate Match'!$A$1)&amp;"4",'ESVD - SUMMARY TABLE'!$E$2:$G$294,3,),0),IF('Biodiversity Assessment'!$Z$102&gt;0,'Biodiversity Assessment'!$Z$102*VLOOKUP(CONCATENATE($B3,$C3,'ESVD - Land Use &amp; Climate Match'!$A$11)&amp;"1",'ESVD - SUMMARY TABLE'!$E$2:$G$294,3,FALSE),0)+IF('Biodiversity Assessment'!$Z$103&gt;0,'Biodiversity Assessment'!$Z$103*VLOOKUP(CONCATENATE($B3,$C3,'ESVD - Land Use &amp; Climate Match'!$A$11)&amp;"2",'ESVD - SUMMARY TABLE'!$E$2:$G$294,3,FALSE),0)+IF('Biodiversity Assessment'!$Z$104&gt;0,'Biodiversity Assessment'!$Z$104*VLOOKUP(CONCATENATE($B3,$C3,'ESVD - Land Use &amp; Climate Match'!$A$11)&amp;"3",'ESVD - SUMMARY TABLE'!$E$2:$G$294,3,FALSE),0)+IF('Biodiversity Assessment'!$Z$105&gt;0,'Biodiversity Assessment'!$Z$105*VLOOKUP(CONCATENATE($B3,$C3,'ESVD - Land Use &amp; Climate Match'!$A$11)&amp;"4",'ESVD - SUMMARY TABLE'!$E$2:$G$294,3,FALSE),0),IF('Biodiversity Assessment'!$BD$102&gt;0,'Biodiversity Assessment'!$BD$102*VLOOKUP(CONCATENATE($B3,$C3,'ESVD - Land Use &amp; Climate Match'!$A$32)&amp;"1",'ESVD - SUMMARY TABLE'!$E$2:$G$294,3,FALSE),0)+IF('Biodiversity Assessment'!$BD$103&gt;0,'Biodiversity Assessment'!$BD$103*VLOOKUP(CONCATENATE($B3,$C3,'ESVD - Land Use &amp; Climate Match'!$A$32)&amp;"2",'ESVD - SUMMARY TABLE'!$E$2:$G$294,3,FALSE),0)+IF('Biodiversity Assessment'!$BD$104&gt;0,'Biodiversity Assessment'!$BD$104*VLOOKUP(CONCATENATE($B3,$C3,'ESVD - Land Use &amp; Climate Match'!$A$32)&amp;"3",'ESVD - SUMMARY TABLE'!$E$2:$G$294,3,FALSE),0)+IF('Biodiversity Assessment'!$BD$105&gt;0,'Biodiversity Assessment'!$BD$105*VLOOKUP(CONCATENATE($B3,$C3,'ESVD - Land Use &amp; Climate Match'!$A$32)&amp;"4",'ESVD - SUMMARY TABLE'!$E$2:$G$294,3,FALSE),0)+IF('Biodiversity Assessment'!$BD$106&gt;0,'Biodiversity Assessment'!$BD$106*VLOOKUP(CONCATENATE($B3,$C3,'ESVD - Land Use &amp; Climate Match'!$A$32)&amp;"5",'ESVD - SUMMARY TABLE'!$E$2:$G$294,3,FALSE)))))),0)</f>
        <v>0</v>
      </c>
      <c r="H3" s="122">
        <f>IFERROR(IF(E3='ESVD - Land Use &amp; Climate Match'!$A$1,IF(SUM('Biodiversity Assessment'!$O$102:$P$105)=SUM('Biodiversity Assessment'!$J$102:$M$105),IF('Biodiversity Assessment'!$O$102&gt;0,'Biodiversity Assessment'!$O$102*VLOOKUP('ESVD - Social Value of Bio'!F3&amp;"1",'ESVD - SUMMARY TABLE'!$E$2:$G$294,3,),0)+IF('Biodiversity Assessment'!$O$103&gt;0,'Biodiversity Assessment'!$O$103*VLOOKUP('ESVD - Social Value of Bio'!F3&amp;"2",'ESVD - SUMMARY TABLE'!$E$2:$G$294,3,),0)+IF('Biodiversity Assessment'!$O$104&gt;0,'Biodiversity Assessment'!$O$104*VLOOKUP('ESVD - Social Value of Bio'!F3&amp;"3",'ESVD - SUMMARY TABLE'!$E$2:$G$294,3,),0)+IF('Biodiversity Assessment'!$O$105&gt;0,'Biodiversity Assessment'!$O$105*VLOOKUP('ESVD - Social Value of Bio'!F3&amp;"4",'ESVD - SUMMARY TABLE'!$E$2:$G$294,3,),0),0),IF(E3='ESVD - Land Use &amp; Climate Match'!$A$11,IF(SUM('Biodiversity Assessment'!$AH$102:$AN$105)=SUM('Biodiversity Assessment'!$Z$102:$AF$105),IF('Biodiversity Assessment'!$AH$102&gt;0,'Biodiversity Assessment'!$AH$102*VLOOKUP('ESVD - Social Value of Bio'!F3&amp;"1",'ESVD - SUMMARY TABLE'!$E$2:$G$294,3,FALSE),0)+IF('Biodiversity Assessment'!$AH$103&gt;0,'Biodiversity Assessment'!$AH$103*VLOOKUP('ESVD - Social Value of Bio'!F3&amp;"2",'ESVD - SUMMARY TABLE'!$E$2:$G$294,3,FALSE),0)+IF('Biodiversity Assessment'!$AH$104&gt;0,'Biodiversity Assessment'!$AH$104*VLOOKUP('ESVD - Social Value of Bio'!F3&amp;"3",'ESVD - SUMMARY TABLE'!$E$2:$G$294,3,FALSE),0)+IF('Biodiversity Assessment'!$AH$105&gt;0,'Biodiversity Assessment'!$AH$105*VLOOKUP('ESVD - Social Value of Bio'!F3&amp;"4",'ESVD - SUMMARY TABLE'!$E$2:$G$294,3,FALSE),0),0),IF(E3='ESVD - Land Use &amp; Climate Match'!$A$32,IF(SUM('Biodiversity Assessment'!$BF$102:$BF$106)=SUM('Biodiversity Assessment'!$BD$102:$BD$106),IF('Biodiversity Assessment'!$BF$102&gt;0,'Biodiversity Assessment'!$BF$102*VLOOKUP('ESVD - Social Value of Bio'!F3&amp;"1",'ESVD - SUMMARY TABLE'!$E$2:$G$294,3,FALSE),0)+IF('Biodiversity Assessment'!$BF$103&gt;0,'Biodiversity Assessment'!$BF$103*VLOOKUP('ESVD - Social Value of Bio'!F3&amp;"2",'ESVD - SUMMARY TABLE'!$E$2:$G$294,3,FALSE),0)+IF('Biodiversity Assessment'!$BF$104&gt;0,'Biodiversity Assessment'!$BF$104*VLOOKUP('ESVD - Social Value of Bio'!F3&amp;"3",'ESVD - SUMMARY TABLE'!$E$2:$G$294,3,FALSE),0)+IF('Biodiversity Assessment'!$BF$105&gt;0,'Biodiversity Assessment'!$BF$105*VLOOKUP('ESVD - Social Value of Bio'!F3&amp;"4",'ESVD - SUMMARY TABLE'!$E$2:$G$294,3,FALSE),0)+IF('Biodiversity Assessment'!$BF$106&gt;0,'Biodiversity Assessment'!$BF$106*VLOOKUP('ESVD - Social Value of Bio'!F3&amp;"5",'ESVD - SUMMARY TABLE'!$E$2:$G$294,3,FALSE),0),0),AVERAGE(IF(SUM('Biodiversity Assessment'!$O$102:$P$105)=SUM('Biodiversity Assessment'!$J$102:$M$105),IF('Biodiversity Assessment'!$O$102&gt;0,'Biodiversity Assessment'!$O$102*VLOOKUP(CONCATENATE($B3,$C3,'ESVD - Land Use &amp; Climate Match'!$A$1)&amp;"1",'ESVD - SUMMARY TABLE'!$E$2:$G$294,3,),0)+IF('Biodiversity Assessment'!$O$103&gt;0,'Biodiversity Assessment'!$O$103*VLOOKUP(CONCATENATE($B3,$C3,'ESVD - Land Use &amp; Climate Match'!$A$1)&amp;"2",'ESVD - SUMMARY TABLE'!$E$2:$G$294,3,),0)+IF('Biodiversity Assessment'!$O$104&gt;0,'Biodiversity Assessment'!$O$104*VLOOKUP(CONCATENATE($B3,$C3,'ESVD - Land Use &amp; Climate Match'!$A$1)&amp;"3",'ESVD - SUMMARY TABLE'!$E$2:$G$294,3,),0)+IF('Biodiversity Assessment'!$O$105&gt;0,'Biodiversity Assessment'!$O$105*VLOOKUP(CONCATENATE($B3,$C3,'ESVD - Land Use &amp; Climate Match'!$A$1)&amp;"4",'ESVD - SUMMARY TABLE'!$E$2:$G$294,3,),0),0),IF(SUM('Biodiversity Assessment'!$AH$102:$AN$105)=SUM('Biodiversity Assessment'!$Z$102:$AF$105),IF('Biodiversity Assessment'!$AH$102&gt;0,'Biodiversity Assessment'!$AH$102*VLOOKUP(CONCATENATE($B3,$C3,'ESVD - Land Use &amp; Climate Match'!$A$11)&amp;"1",'ESVD - SUMMARY TABLE'!$E$2:$G$294,3,FALSE),0)+IF('Biodiversity Assessment'!$AH$103&gt;0,'Biodiversity Assessment'!$AH$103*VLOOKUP(CONCATENATE($B3,$C3,'ESVD - Land Use &amp; Climate Match'!$A$11)&amp;"2",'ESVD - SUMMARY TABLE'!$E$2:$G$294,3,FALSE),0)+IF('Biodiversity Assessment'!$AH$104&gt;0,'Biodiversity Assessment'!$AH$104*VLOOKUP(CONCATENATE($B3,$C3,'ESVD - Land Use &amp; Climate Match'!$A$11)&amp;"3",'ESVD - SUMMARY TABLE'!$E$2:$G$294,3,FALSE),0)+IF('Biodiversity Assessment'!$AH$105&gt;0,'Biodiversity Assessment'!$AH$105*VLOOKUP(CONCATENATE($B3,$C3,'ESVD - Land Use &amp; Climate Match'!$A$11)&amp;"4",'ESVD - SUMMARY TABLE'!$E$2:$G$294,3,FALSE),0),0),IF(SUM('Biodiversity Assessment'!$BF$102:$BF$106)=SUM('Biodiversity Assessment'!$BD$102:$BD$106),IF('Biodiversity Assessment'!$BF$102&gt;0,'Biodiversity Assessment'!$BF$102*VLOOKUP(CONCATENATE($B3,$C3,'ESVD - Land Use &amp; Climate Match'!$A$32)&amp;"1",'ESVD - SUMMARY TABLE'!$E$2:$G$294,3,FALSE),0)+IF('Biodiversity Assessment'!$BF$103&gt;0,'Biodiversity Assessment'!$BF$103*VLOOKUP(CONCATENATE($B3,$C3,'ESVD - Land Use &amp; Climate Match'!$A$32)&amp;"2",'ESVD - SUMMARY TABLE'!$E$2:$G$294,3,FALSE),0)+IF('Biodiversity Assessment'!$BF$104&gt;0,'Biodiversity Assessment'!$BF$104*VLOOKUP(CONCATENATE($B3,$C3,'ESVD - Land Use &amp; Climate Match'!$A$32)&amp;"3",'ESVD - SUMMARY TABLE'!$E$2:$G$294,3,FALSE),0)+IF('Biodiversity Assessment'!$BF$105&gt;0,'Biodiversity Assessment'!$BF$105*VLOOKUP(CONCATENATE($B3,$C3,'ESVD - Land Use &amp; Climate Match'!$A$32)&amp;"4",'ESVD - SUMMARY TABLE'!$E$2:$G$294,3,FALSE),0)+IF('Biodiversity Assessment'!$BF$106&gt;0,'Biodiversity Assessment'!$BF$106*VLOOKUP(CONCATENATE($B3,$C3,'ESVD - Land Use &amp; Climate Match'!$A$32)&amp;"5",'ESVD - SUMMARY TABLE'!$E$2:$G$294,3,FALSE),0),0))))),0)</f>
        <v>0</v>
      </c>
      <c r="I3" s="122">
        <f>'Biodiversity Assessment'!CR18</f>
        <v>0</v>
      </c>
      <c r="J3" s="122">
        <f>IFERROR(IF(I3&gt;0,I3*'Biodiversity Assessment'!$M18,IF(H3&gt;0,H3*'Biodiversity Assessment'!$M18,G3*'Biodiversity Assessment'!$M18)),0)</f>
        <v>0</v>
      </c>
      <c r="K3" s="454">
        <f>IFERROR(SUM(J3:J32)/SUM('Biodiversity Assessment'!$H18:$M47),0)</f>
        <v>0</v>
      </c>
      <c r="L3" s="123">
        <f>IFERROR(IF(E3='ESVD - Land Use &amp; Climate Match'!$A$1,IF('Biodiversity Assessment'!$J$102&gt;0,'Biodiversity Assessment'!$J$102*VLOOKUP('ESVD - Social Value of Bio'!F3&amp;"1",'ESVD - SUMMARY TABLE'!$E$2:$G$294,3,),0)+IF('Biodiversity Assessment'!$J$103&gt;0,'Biodiversity Assessment'!$J$103*VLOOKUP('ESVD - Social Value of Bio'!F3&amp;"2",'ESVD - SUMMARY TABLE'!$E$2:$G$294,3,),0)+IF('Biodiversity Assessment'!$J$104&gt;0,'Biodiversity Assessment'!$J$104*VLOOKUP('ESVD - Social Value of Bio'!F3&amp;"3",'ESVD - SUMMARY TABLE'!$E$2:$G$294,3,),0)+IF('Biodiversity Assessment'!$J$105&gt;0,'Biodiversity Assessment'!$J$105*VLOOKUP('ESVD - Social Value of Bio'!F3&amp;"4",'ESVD - SUMMARY TABLE'!$E$2:$G$294,3,),0),IF(E3='ESVD - Land Use &amp; Climate Match'!$A$11,IF('Biodiversity Assessment'!$Z$102&gt;0,'Biodiversity Assessment'!$Z$102*VLOOKUP('ESVD - Social Value of Bio'!F3&amp;"1",'ESVD - SUMMARY TABLE'!$E$2:$G$294,3,FALSE),0)+IF('Biodiversity Assessment'!$Z$103&gt;0,'Biodiversity Assessment'!$Z$103*VLOOKUP('ESVD - Social Value of Bio'!F3&amp;"2",'ESVD - SUMMARY TABLE'!$E$2:$G$294,3,FALSE),0)+IF('Biodiversity Assessment'!$Z$104&gt;0,'Biodiversity Assessment'!$Z$104*VLOOKUP('ESVD - Social Value of Bio'!F3&amp;"3",'ESVD - SUMMARY TABLE'!$E$2:$G$294,3,FALSE),0)+IF('Biodiversity Assessment'!$Z$105&gt;0,'Biodiversity Assessment'!$Z$105*VLOOKUP('ESVD - Social Value of Bio'!F3&amp;"4",'ESVD - SUMMARY TABLE'!$E$2:$G$294,3,FALSE),0),IF(E3='ESVD - Land Use &amp; Climate Match'!$A$32,IF('Biodiversity Assessment'!$BD$102&gt;0,'Biodiversity Assessment'!$BD$102*VLOOKUP('ESVD - Social Value of Bio'!F3&amp;"1",'ESVD - SUMMARY TABLE'!$E$2:$G$294,3,FALSE),0)+IF('Biodiversity Assessment'!$BD$103&gt;0,'Biodiversity Assessment'!$BD$103*VLOOKUP('ESVD - Social Value of Bio'!F3&amp;"2",'ESVD - SUMMARY TABLE'!$E$2:$G$294,3,FALSE),0)+IF('Biodiversity Assessment'!$BD$104&gt;0,'Biodiversity Assessment'!$BD$104*VLOOKUP('ESVD - Social Value of Bio'!F3&amp;"3",'ESVD - SUMMARY TABLE'!$E$2:$G$294,3,FALSE),0)+IF('Biodiversity Assessment'!$BD$105&gt;0,'Biodiversity Assessment'!$BD$105*VLOOKUP('ESVD - Social Value of Bio'!F3&amp;"4",'ESVD - SUMMARY TABLE'!$E$2:$G$294,3,FALSE),0)+IF('Biodiversity Assessment'!$BD$106&gt;0,'Biodiversity Assessment'!$BD$106*VLOOKUP('ESVD - Social Value of Bio'!F3&amp;"5",'ESVD - SUMMARY TABLE'!$E$2:$G$294,3,FALSE),0),VLOOKUP('ESVD - Social Value of Bio'!F3&amp;"1",'ESVD - SUMMARY TABLE'!$E$2:$G$294,3,FALSE)))),0)</f>
        <v>0</v>
      </c>
      <c r="M3" s="123">
        <f>IFERROR(IF(E3='ESVD - Land Use &amp; Climate Match'!$A$1,IF(SUM('Biodiversity Assessment'!$O$102:$P$105)=SUM('Biodiversity Assessment'!$J$102:$M$105),IF('Biodiversity Assessment'!$O$102&gt;0,'Biodiversity Assessment'!$O$102*VLOOKUP('ESVD - Social Value of Bio'!F3&amp;"1",'ESVD - SUMMARY TABLE'!$E$2:$G$294,3,),0)+IF('Biodiversity Assessment'!$O$103&gt;0,'Biodiversity Assessment'!$O$103*VLOOKUP('ESVD - Social Value of Bio'!F3&amp;"2",'ESVD - SUMMARY TABLE'!$E$2:$G$294,3,),0)+IF('Biodiversity Assessment'!$O$104&gt;0,'Biodiversity Assessment'!$O$104*VLOOKUP('ESVD - Social Value of Bio'!F3&amp;"3",'ESVD - SUMMARY TABLE'!$E$2:$G$294,3,),0)+IF('Biodiversity Assessment'!$O$105&gt;0,'Biodiversity Assessment'!$O$105*VLOOKUP('ESVD - Social Value of Bio'!F3&amp;"4",'ESVD - SUMMARY TABLE'!$E$2:$G$294,3,),0),0),IF(E3='ESVD - Land Use &amp; Climate Match'!$A$11,IF(SUM('Biodiversity Assessment'!$AH$102:$AN$105)=SUM('Biodiversity Assessment'!$Z$102:$AF$105),IF('Biodiversity Assessment'!$AH$102&gt;0,'Biodiversity Assessment'!$AH$102*VLOOKUP('ESVD - Social Value of Bio'!F3&amp;"1",'ESVD - SUMMARY TABLE'!$E$2:$G$294,3,FALSE),0)+IF('Biodiversity Assessment'!$AH$103&gt;0,'Biodiversity Assessment'!$AH$103*VLOOKUP('ESVD - Social Value of Bio'!F3&amp;"2",'ESVD - SUMMARY TABLE'!$E$2:$G$294,3,FALSE),0)+IF('Biodiversity Assessment'!$AH$104&gt;0,'Biodiversity Assessment'!$AH$104*VLOOKUP('ESVD - Social Value of Bio'!F3&amp;"3",'ESVD - SUMMARY TABLE'!$E$2:$G$294,3,FALSE),0)+IF('Biodiversity Assessment'!$AH$105&gt;0,'Biodiversity Assessment'!$AH$105*VLOOKUP('ESVD - Social Value of Bio'!F3&amp;"4",'ESVD - SUMMARY TABLE'!$E$2:$G$294,3,FALSE),0),0),IF(E3='ESVD - Land Use &amp; Climate Match'!$A$32,IF(SUM('Biodiversity Assessment'!$BF$102:$BF$106)=SUM('Biodiversity Assessment'!$BD$102:$BD$106),IF('Biodiversity Assessment'!$BF$102&gt;0,'Biodiversity Assessment'!$BF$102*VLOOKUP('ESVD - Social Value of Bio'!F3&amp;"1",'ESVD - SUMMARY TABLE'!$E$2:$G$294,3,FALSE),0)+IF('Biodiversity Assessment'!$BF$103&gt;0,'Biodiversity Assessment'!$BF$103*VLOOKUP('ESVD - Social Value of Bio'!F3&amp;"2",'ESVD - SUMMARY TABLE'!$E$2:$G$294,3,FALSE),0)+IF('Biodiversity Assessment'!$BF$104&gt;0,'Biodiversity Assessment'!$BF$104*VLOOKUP('ESVD - Social Value of Bio'!F3&amp;"3",'ESVD - SUMMARY TABLE'!$E$2:$G$294,3,FALSE),0)+IF('Biodiversity Assessment'!$BF$105&gt;0,'Biodiversity Assessment'!$BF$105*VLOOKUP('ESVD - Social Value of Bio'!F3&amp;"4",'ESVD - SUMMARY TABLE'!$E$2:$G$294,3,FALSE),0)+IF('Biodiversity Assessment'!$BF$106&gt;0,'Biodiversity Assessment'!$BF$106*VLOOKUP('ESVD - Social Value of Bio'!F3&amp;"5",'ESVD - SUMMARY TABLE'!$E$2:$G$294,3,FALSE),0),0),VLOOKUP('ESVD - Social Value of Bio'!F3&amp;"1",'ESVD - SUMMARY TABLE'!$E$2:$G$294,3,FALSE)))),0)</f>
        <v>0</v>
      </c>
      <c r="N3" s="123">
        <f>'Biodiversity Assessment'!CR18</f>
        <v>0</v>
      </c>
      <c r="O3" s="124">
        <f>IFERROR(IF(N3&gt;0,N3*'Biodiversity Assessment'!M18,IF(M3&gt;0,M3*'Biodiversity Assessment'!M18,L3*'Biodiversity Assessment'!M18)),0)</f>
        <v>0</v>
      </c>
      <c r="P3" s="456" t="e">
        <f>SUM(O3:O32)/SUM('Biodiversity Assessment'!M18:M47)</f>
        <v>#DIV/0!</v>
      </c>
      <c r="R3" s="108" t="str">
        <f>'Biodiversity Assessment'!O18</f>
        <v>Select land use</v>
      </c>
      <c r="S3" s="109" t="str">
        <f>IF(OR(R3=Data!$E$4,R3=Data!$E$5,R3=Data!$E$6,R3=Data!$E$7),Data!$E$4,IF(OR(R3=Data!$E$9,R3=Data!$E$10,R3=Data!$E$11),Data!$E$9,IF(OR(R3=Data!$E$12,R3=Data!$E$13,R3=Data!$E$14),"Cropland",IF(OR(R3=Data!$E$16,R3=Data!$E$17),"Agroforestry",R3))))</f>
        <v>Select land use</v>
      </c>
      <c r="T3" s="109" t="str">
        <f>CONCATENATE($B$3,$C$3,S3)</f>
        <v>Please selectPlease selectSelect land use</v>
      </c>
      <c r="U3" s="122">
        <f>IFERROR(IF(S3='ESVD - Land Use &amp; Climate Match'!$A$1,IF('Biodiversity Assessment'!$J$102&gt;0,'Biodiversity Assessment'!$J$102*VLOOKUP('ESVD - Social Value of Bio'!T3&amp;"1",'ESVD - SUMMARY TABLE'!$E$2:$G$294,3,),0)+IF('Biodiversity Assessment'!$J$103&gt;0,'Biodiversity Assessment'!$J$103*VLOOKUP('ESVD - Social Value of Bio'!T3&amp;"2",'ESVD - SUMMARY TABLE'!$E$2:$G$294,3,),0)+IF('Biodiversity Assessment'!$J$104&gt;0,'Biodiversity Assessment'!$J$104*VLOOKUP('ESVD - Social Value of Bio'!T3&amp;"3",'ESVD - SUMMARY TABLE'!$E$2:$G$294,3,),0)+IF('Biodiversity Assessment'!$J$105&gt;0,'Biodiversity Assessment'!$J$105*VLOOKUP('ESVD - Social Value of Bio'!T3&amp;"4",'ESVD - SUMMARY TABLE'!$E$2:$G$294,3,),0),IF(S3='ESVD - Land Use &amp; Climate Match'!$A$11,IF('Biodiversity Assessment'!$Z$102&gt;0,'Biodiversity Assessment'!$Z$102*VLOOKUP('ESVD - Social Value of Bio'!T3&amp;"1",'ESVD - SUMMARY TABLE'!$E$2:$G$294,3,FALSE),0)+IF('Biodiversity Assessment'!$Z$103&gt;0,'Biodiversity Assessment'!$Z$103*VLOOKUP('ESVD - Social Value of Bio'!T3&amp;"2",'ESVD - SUMMARY TABLE'!$E$2:$G$294,3,FALSE),0)+IF('Biodiversity Assessment'!$Z$104&gt;0,'Biodiversity Assessment'!$Z$104*VLOOKUP('ESVD - Social Value of Bio'!T3&amp;"3",'ESVD - SUMMARY TABLE'!$E$2:$G$294,3,FALSE),0)+IF('Biodiversity Assessment'!$Z$105&gt;0,'Biodiversity Assessment'!$Z$105*VLOOKUP('ESVD - Social Value of Bio'!T3&amp;"4",'ESVD - SUMMARY TABLE'!$E$2:$G$294,3,FALSE),0),IF(S3='ESVD - Land Use &amp; Climate Match'!$A$32,IF('Biodiversity Assessment'!$BD$102&gt;0,'Biodiversity Assessment'!$BD$102*VLOOKUP('ESVD - Social Value of Bio'!T3&amp;"1",'ESVD - SUMMARY TABLE'!$E$2:$G$294,3,FALSE),0)+IF('Biodiversity Assessment'!$BD$103&gt;0,'Biodiversity Assessment'!$BD$103*VLOOKUP('ESVD - Social Value of Bio'!T3&amp;"2",'ESVD - SUMMARY TABLE'!$E$2:$G$294,3,FALSE),0)+IF('Biodiversity Assessment'!$BD$104&gt;0,'Biodiversity Assessment'!$BD$104*VLOOKUP('ESVD - Social Value of Bio'!T3&amp;"3",'ESVD - SUMMARY TABLE'!$E$2:$G$294,3,FALSE),0)+IF('Biodiversity Assessment'!$BD$105&gt;0,'Biodiversity Assessment'!$BD$105*VLOOKUP('ESVD - Social Value of Bio'!T3&amp;"4",'ESVD - SUMMARY TABLE'!$E$2:$G$294,3,FALSE),0)+IF('Biodiversity Assessment'!$BD$106&gt;0,'Biodiversity Assessment'!$BD$106*VLOOKUP('ESVD - Social Value of Bio'!T3&amp;"5",'ESVD - SUMMARY TABLE'!$E$2:$G$294,3,FALSE),0),AVERAGE(IF('Biodiversity Assessment'!$J$102&gt;0,'Biodiversity Assessment'!$J$102*VLOOKUP(CONCATENATE($B3,$C3,'ESVD - Land Use &amp; Climate Match'!$A$1)&amp;"1",'ESVD - SUMMARY TABLE'!$E$2:$G$294,3,),0)+IF('Biodiversity Assessment'!$J$103&gt;0,'Biodiversity Assessment'!$J$103*VLOOKUP(CONCATENATE($B3,$C3,'ESVD - Land Use &amp; Climate Match'!$A$1)&amp;"2",'ESVD - SUMMARY TABLE'!$E$2:$G$294,3,),0)+IF('Biodiversity Assessment'!$J$104&gt;0,'Biodiversity Assessment'!$J$104*VLOOKUP(CONCATENATE($B3,$C3,'ESVD - Land Use &amp; Climate Match'!$A$1)&amp;"3",'ESVD - SUMMARY TABLE'!$E$2:$G$294,3,),0)+IF('Biodiversity Assessment'!$J$105&gt;0,'Biodiversity Assessment'!$J$105*VLOOKUP(CONCATENATE($B3,$C3,'ESVD - Land Use &amp; Climate Match'!$A$1)&amp;"4",'ESVD - SUMMARY TABLE'!$E$2:$G$294,3,),0),IF('Biodiversity Assessment'!$Z$102&gt;0,'Biodiversity Assessment'!$Z$102*VLOOKUP(CONCATENATE($B3,$C3,'ESVD - Land Use &amp; Climate Match'!$A$11)&amp;"1",'ESVD - SUMMARY TABLE'!$E$2:$G$294,3,FALSE),0)+IF('Biodiversity Assessment'!$Z$103&gt;0,'Biodiversity Assessment'!$Z$103*VLOOKUP(CONCATENATE($B3,$C3,'ESVD - Land Use &amp; Climate Match'!$A$11)&amp;"2",'ESVD - SUMMARY TABLE'!$E$2:$G$294,3,FALSE),0)+IF('Biodiversity Assessment'!$Z$104&gt;0,'Biodiversity Assessment'!$Z$104*VLOOKUP(CONCATENATE($B3,$C3,'ESVD - Land Use &amp; Climate Match'!$A$11)&amp;"3",'ESVD - SUMMARY TABLE'!$E$2:$G$294,3,FALSE),0)+IF('Biodiversity Assessment'!$Z$105&gt;0,'Biodiversity Assessment'!$Z$105*VLOOKUP(CONCATENATE($B3,$C3,'ESVD - Land Use &amp; Climate Match'!$A$11)&amp;"4",'ESVD - SUMMARY TABLE'!$E$2:$G$294,3,FALSE),0),IF('Biodiversity Assessment'!$BD$102&gt;0,'Biodiversity Assessment'!$BD$102*VLOOKUP(CONCATENATE($B3,$C3,'ESVD - Land Use &amp; Climate Match'!$A$32)&amp;"1",'ESVD - SUMMARY TABLE'!$E$2:$G$294,3,FALSE),0)+IF('Biodiversity Assessment'!$BD$103&gt;0,'Biodiversity Assessment'!$BD$103*VLOOKUP(CONCATENATE($B3,$C3,'ESVD - Land Use &amp; Climate Match'!$A$32)&amp;"2",'ESVD - SUMMARY TABLE'!$E$2:$G$294,3,FALSE),0)+IF('Biodiversity Assessment'!$BD$104&gt;0,'Biodiversity Assessment'!$BD$104*VLOOKUP(CONCATENATE($B3,$C3,'ESVD - Land Use &amp; Climate Match'!$A$32)&amp;"3",'ESVD - SUMMARY TABLE'!$E$2:$G$294,3,FALSE),0)+IF('Biodiversity Assessment'!$BD$105&gt;0,'Biodiversity Assessment'!$BD$105*VLOOKUP(CONCATENATE($B3,$C3,'ESVD - Land Use &amp; Climate Match'!$A$32)&amp;"4",'ESVD - SUMMARY TABLE'!$E$2:$G$294,3,FALSE),0)+IF('Biodiversity Assessment'!$BD$106&gt;0,'Biodiversity Assessment'!$BD$106*VLOOKUP(CONCATENATE($B3,$C3,'ESVD - Land Use &amp; Climate Match'!$A$32)&amp;"5",'ESVD - SUMMARY TABLE'!$E$2:$G$294,3,FALSE)))))),0)</f>
        <v>0</v>
      </c>
      <c r="V3" s="122">
        <f>IFERROR(IF(S3='ESVD - Land Use &amp; Climate Match'!$A$1,IF(SUM('Biodiversity Assessment'!$O$102:$P$105)=SUM('Biodiversity Assessment'!$J$102:$M$105),IF('Biodiversity Assessment'!$O$102&gt;0,'Biodiversity Assessment'!$O$102*VLOOKUP('ESVD - Social Value of Bio'!T3&amp;"1",'ESVD - SUMMARY TABLE'!$E$2:$G$294,3,),0)+IF('Biodiversity Assessment'!$O$103&gt;0,'Biodiversity Assessment'!$O$103*VLOOKUP('ESVD - Social Value of Bio'!T3&amp;"2",'ESVD - SUMMARY TABLE'!$E$2:$G$294,3,),0)+IF('Biodiversity Assessment'!$O$104&gt;0,'Biodiversity Assessment'!$O$104*VLOOKUP('ESVD - Social Value of Bio'!T3&amp;"3",'ESVD - SUMMARY TABLE'!$E$2:$G$294,3,),0)+IF('Biodiversity Assessment'!$O$105&gt;0,'Biodiversity Assessment'!$O$105*VLOOKUP('ESVD - Social Value of Bio'!T3&amp;"4",'ESVD - SUMMARY TABLE'!$E$2:$G$294,3,),0),0),IF(S3='ESVD - Land Use &amp; Climate Match'!$A$11,IF(SUM('Biodiversity Assessment'!$AH$102:$AN$105)=SUM('Biodiversity Assessment'!$Z$102:$AF$105),IF('Biodiversity Assessment'!$AH$102&gt;0,'Biodiversity Assessment'!$AH$102*VLOOKUP('ESVD - Social Value of Bio'!T3&amp;"1",'ESVD - SUMMARY TABLE'!$E$2:$G$294,3,FALSE),0)+IF('Biodiversity Assessment'!$AH$103&gt;0,'Biodiversity Assessment'!$AH$103*VLOOKUP('ESVD - Social Value of Bio'!T3&amp;"2",'ESVD - SUMMARY TABLE'!$E$2:$G$294,3,FALSE),0)+IF('Biodiversity Assessment'!$AH$104&gt;0,'Biodiversity Assessment'!$AH$104*VLOOKUP('ESVD - Social Value of Bio'!T3&amp;"3",'ESVD - SUMMARY TABLE'!$E$2:$G$294,3,FALSE),0)+IF('Biodiversity Assessment'!$AH$105&gt;0,'Biodiversity Assessment'!$AH$105*VLOOKUP('ESVD - Social Value of Bio'!T3&amp;"4",'ESVD - SUMMARY TABLE'!$E$2:$G$294,3,FALSE),0),0),IF(S3='ESVD - Land Use &amp; Climate Match'!$A$32,IF(SUM('Biodiversity Assessment'!$BF$102:$BF$106)=SUM('Biodiversity Assessment'!$BD$102:$BD$106),IF('Biodiversity Assessment'!$BF$102&gt;0,'Biodiversity Assessment'!$BF$102*VLOOKUP('ESVD - Social Value of Bio'!T3&amp;"1",'ESVD - SUMMARY TABLE'!$E$2:$G$294,3,FALSE),0)+IF('Biodiversity Assessment'!$BF$103&gt;0,'Biodiversity Assessment'!$BF$103*VLOOKUP('ESVD - Social Value of Bio'!T3&amp;"2",'ESVD - SUMMARY TABLE'!$E$2:$G$294,3,FALSE),0)+IF('Biodiversity Assessment'!$BF$104&gt;0,'Biodiversity Assessment'!$BF$104*VLOOKUP('ESVD - Social Value of Bio'!T3&amp;"3",'ESVD - SUMMARY TABLE'!$E$2:$G$294,3,FALSE),0)+IF('Biodiversity Assessment'!$BF$105&gt;0,'Biodiversity Assessment'!$BF$105*VLOOKUP('ESVD - Social Value of Bio'!T3&amp;"4",'ESVD - SUMMARY TABLE'!$E$2:$G$294,3,FALSE),0)+IF('Biodiversity Assessment'!$BF$106&gt;0,'Biodiversity Assessment'!$BF$106*VLOOKUP('ESVD - Social Value of Bio'!T3&amp;"5",'ESVD - SUMMARY TABLE'!$E$2:$G$294,3,FALSE),0),0),AVERAGE(IF(SUM('Biodiversity Assessment'!$O$102:$P$105)=SUM('Biodiversity Assessment'!$J$102:$M$105),IF('Biodiversity Assessment'!$O$102&gt;0,'Biodiversity Assessment'!$O$102*VLOOKUP(CONCATENATE($B3,$C3,'ESVD - Land Use &amp; Climate Match'!$A$1)&amp;"1",'ESVD - SUMMARY TABLE'!$E$2:$G$294,3,),0)+IF('Biodiversity Assessment'!$O$103&gt;0,'Biodiversity Assessment'!$O$103*VLOOKUP(CONCATENATE($B3,$C3,'ESVD - Land Use &amp; Climate Match'!$A$1)&amp;"2",'ESVD - SUMMARY TABLE'!$E$2:$G$294,3,),0)+IF('Biodiversity Assessment'!$O$104&gt;0,'Biodiversity Assessment'!$O$104*VLOOKUP(CONCATENATE($B3,$C3,'ESVD - Land Use &amp; Climate Match'!$A$1)&amp;"3",'ESVD - SUMMARY TABLE'!$E$2:$G$294,3,),0)+IF('Biodiversity Assessment'!$O$105&gt;0,'Biodiversity Assessment'!$O$105*VLOOKUP(CONCATENATE($B3,$C3,'ESVD - Land Use &amp; Climate Match'!$A$1)&amp;"4",'ESVD - SUMMARY TABLE'!$E$2:$G$294,3,),0),0),IF(SUM('Biodiversity Assessment'!$AH$102:$AN$105)=SUM('Biodiversity Assessment'!$Z$102:$AF$105),IF('Biodiversity Assessment'!$AH$102&gt;0,'Biodiversity Assessment'!$AH$102*VLOOKUP(CONCATENATE($B3,$C3,'ESVD - Land Use &amp; Climate Match'!$A$11)&amp;"1",'ESVD - SUMMARY TABLE'!$E$2:$G$294,3,FALSE),0)+IF('Biodiversity Assessment'!$AH$103&gt;0,'Biodiversity Assessment'!$AH$103*VLOOKUP(CONCATENATE($B3,$C3,'ESVD - Land Use &amp; Climate Match'!$A$11)&amp;"2",'ESVD - SUMMARY TABLE'!$E$2:$G$294,3,FALSE),0)+IF('Biodiversity Assessment'!$AH$104&gt;0,'Biodiversity Assessment'!$AH$104*VLOOKUP(CONCATENATE($B3,$C3,'ESVD - Land Use &amp; Climate Match'!$A$11)&amp;"3",'ESVD - SUMMARY TABLE'!$E$2:$G$294,3,FALSE),0)+IF('Biodiversity Assessment'!$AH$105&gt;0,'Biodiversity Assessment'!$AH$105*VLOOKUP(CONCATENATE($B3,$C3,'ESVD - Land Use &amp; Climate Match'!$A$11)&amp;"4",'ESVD - SUMMARY TABLE'!$E$2:$G$294,3,FALSE),0),0),IF(SUM('Biodiversity Assessment'!$BF$102:$BF$106)=SUM('Biodiversity Assessment'!$BD$102:$BD$106),IF('Biodiversity Assessment'!$BF$102&gt;0,'Biodiversity Assessment'!$BF$102*VLOOKUP(CONCATENATE($B3,$C3,'ESVD - Land Use &amp; Climate Match'!$A$32)&amp;"1",'ESVD - SUMMARY TABLE'!$E$2:$G$294,3,FALSE),0)+IF('Biodiversity Assessment'!$BF$103&gt;0,'Biodiversity Assessment'!$BF$103*VLOOKUP(CONCATENATE($B3,$C3,'ESVD - Land Use &amp; Climate Match'!$A$32)&amp;"2",'ESVD - SUMMARY TABLE'!$E$2:$G$294,3,FALSE),0)+IF('Biodiversity Assessment'!$BF$104&gt;0,'Biodiversity Assessment'!$BF$104*VLOOKUP(CONCATENATE($B3,$C3,'ESVD - Land Use &amp; Climate Match'!$A$32)&amp;"3",'ESVD - SUMMARY TABLE'!$E$2:$G$294,3,FALSE),0)+IF('Biodiversity Assessment'!$BF$105&gt;0,'Biodiversity Assessment'!$BF$105*VLOOKUP(CONCATENATE($B3,$C3,'ESVD - Land Use &amp; Climate Match'!$A$32)&amp;"4",'ESVD - SUMMARY TABLE'!$E$2:$G$294,3,FALSE),0)+IF('Biodiversity Assessment'!$BF$106&gt;0,'Biodiversity Assessment'!$BF$106*VLOOKUP(CONCATENATE($B3,$C3,'ESVD - Land Use &amp; Climate Match'!$A$32)&amp;"5",'ESVD - SUMMARY TABLE'!$E$2:$G$294,3,FALSE),0),0))))),0)</f>
        <v>0</v>
      </c>
      <c r="W3" s="122">
        <f>'Biodiversity Assessment'!CX18</f>
        <v>0</v>
      </c>
      <c r="X3" s="122">
        <f>IFERROR(IF(W3&gt;0,W3*'Biodiversity Assessment'!$U18,IF(V3&gt;0,V3*'Biodiversity Assessment'!$U18,U3*'Biodiversity Assessment'!$U18)),0)</f>
        <v>0</v>
      </c>
      <c r="Y3" s="454">
        <f>IFERROR(SUM(X4:X33)/SUM('Biodiversity Assessment'!U18:U47),0)</f>
        <v>0</v>
      </c>
      <c r="Z3" s="123">
        <f>IFERROR(IF(S3='ESVD - Land Use &amp; Climate Match'!$A$1,IF('Biodiversity Assessment'!$J$102&gt;0,'Biodiversity Assessment'!$J$102*VLOOKUP('ESVD - Social Value of Bio'!T3&amp;"1",'ESVD - SUMMARY TABLE'!$E$2:$G$294,3,),0)+IF('Biodiversity Assessment'!$J$103&gt;0,'Biodiversity Assessment'!$J$103*VLOOKUP('ESVD - Social Value of Bio'!T3&amp;"2",'ESVD - SUMMARY TABLE'!$E$2:$G$294,3,),0)+IF('Biodiversity Assessment'!$J$104&gt;0,'Biodiversity Assessment'!$J$104*VLOOKUP('ESVD - Social Value of Bio'!T3&amp;"3",'ESVD - SUMMARY TABLE'!$E$2:$G$294,3,),0)+IF('Biodiversity Assessment'!$J$105&gt;0,'Biodiversity Assessment'!$J$105*VLOOKUP('ESVD - Social Value of Bio'!T3&amp;"4",'ESVD - SUMMARY TABLE'!$E$2:$G$294,3,),0),IF(S3='ESVD - Land Use &amp; Climate Match'!$A$11,IF('Biodiversity Assessment'!$Z$102&gt;0,'Biodiversity Assessment'!$Z$102*VLOOKUP('ESVD - Social Value of Bio'!T3&amp;"1",'ESVD - SUMMARY TABLE'!$E$2:$G$294,3,FALSE),0)+IF('Biodiversity Assessment'!$Z$103&gt;0,'Biodiversity Assessment'!$Z$103*VLOOKUP('ESVD - Social Value of Bio'!T3&amp;"2",'ESVD - SUMMARY TABLE'!$E$2:$G$294,3,FALSE),0)+IF('Biodiversity Assessment'!$Z$104&gt;0,'Biodiversity Assessment'!$Z$104*VLOOKUP('ESVD - Social Value of Bio'!T3&amp;"3",'ESVD - SUMMARY TABLE'!$E$2:$G$294,3,FALSE),0)+IF('Biodiversity Assessment'!$Z$105&gt;0,'Biodiversity Assessment'!$Z$105*VLOOKUP('ESVD - Social Value of Bio'!T3&amp;"4",'ESVD - SUMMARY TABLE'!$E$2:$G$294,3,FALSE),0),IF(S3='ESVD - Land Use &amp; Climate Match'!$A$32,IF('Biodiversity Assessment'!$BD$102&gt;0,'Biodiversity Assessment'!$BD$102*VLOOKUP('ESVD - Social Value of Bio'!T3&amp;"1",'ESVD - SUMMARY TABLE'!$E$2:$G$294,3,FALSE),0)+IF('Biodiversity Assessment'!$BD$103&gt;0,'Biodiversity Assessment'!$BD$103*VLOOKUP('ESVD - Social Value of Bio'!T3&amp;"2",'ESVD - SUMMARY TABLE'!$E$2:$G$294,3,FALSE),0)+IF('Biodiversity Assessment'!$BD$104&gt;0,'Biodiversity Assessment'!$BD$104*VLOOKUP('ESVD - Social Value of Bio'!T3&amp;"3",'ESVD - SUMMARY TABLE'!$E$2:$G$294,3,FALSE),0)+IF('Biodiversity Assessment'!$BD$105&gt;0,'Biodiversity Assessment'!$BD$105*VLOOKUP('ESVD - Social Value of Bio'!T3&amp;"4",'ESVD - SUMMARY TABLE'!$E$2:$G$294,3,FALSE),0)+IF('Biodiversity Assessment'!$BD$106&gt;0,'Biodiversity Assessment'!$BD$106*VLOOKUP('ESVD - Social Value of Bio'!T3&amp;"5",'ESVD - SUMMARY TABLE'!$E$2:$G$294,3,FALSE),0),VLOOKUP('ESVD - Social Value of Bio'!T3&amp;"1",'ESVD - SUMMARY TABLE'!$E$2:$G$294,3,FALSE)))),0)</f>
        <v>0</v>
      </c>
      <c r="AA3" s="123">
        <f>IFERROR(IF(S3='ESVD - Land Use &amp; Climate Match'!$A$1,IF(SUM('Biodiversity Assessment'!$O$102:$P$105)=SUM('Biodiversity Assessment'!$J$102:$M$105),IF('Biodiversity Assessment'!$O$102&gt;0,'Biodiversity Assessment'!$O$102*VLOOKUP('ESVD - Social Value of Bio'!T3&amp;"1",'ESVD - SUMMARY TABLE'!$E$2:$G$294,3,),0)+IF('Biodiversity Assessment'!$O$103&gt;0,'Biodiversity Assessment'!$O$103*VLOOKUP('ESVD - Social Value of Bio'!T3&amp;"2",'ESVD - SUMMARY TABLE'!$E$2:$G$294,3,),0)+IF('Biodiversity Assessment'!$O$104&gt;0,'Biodiversity Assessment'!$O$104*VLOOKUP('ESVD - Social Value of Bio'!T3&amp;"3",'ESVD - SUMMARY TABLE'!$E$2:$G$294,3,),0)+IF('Biodiversity Assessment'!$O$105&gt;0,'Biodiversity Assessment'!$O$105*VLOOKUP('ESVD - Social Value of Bio'!T3&amp;"4",'ESVD - SUMMARY TABLE'!$E$2:$G$294,3,),0),0),IF(S3='ESVD - Land Use &amp; Climate Match'!$A$11,IF(SUM('Biodiversity Assessment'!$AH$102:$AN$105)=SUM('Biodiversity Assessment'!$Z$102:$AF$105),IF('Biodiversity Assessment'!$AH$102&gt;0,'Biodiversity Assessment'!$AH$102*VLOOKUP('ESVD - Social Value of Bio'!T3&amp;"1",'ESVD - SUMMARY TABLE'!$E$2:$G$294,3,FALSE),0)+IF('Biodiversity Assessment'!$AH$103&gt;0,'Biodiversity Assessment'!$AH$103*VLOOKUP('ESVD - Social Value of Bio'!T3&amp;"2",'ESVD - SUMMARY TABLE'!$E$2:$G$294,3,FALSE),0)+IF('Biodiversity Assessment'!$AH$104&gt;0,'Biodiversity Assessment'!$AH$104*VLOOKUP('ESVD - Social Value of Bio'!T3&amp;"3",'ESVD - SUMMARY TABLE'!$E$2:$G$294,3,FALSE),0)+IF('Biodiversity Assessment'!$AH$105&gt;0,'Biodiversity Assessment'!$AH$105*VLOOKUP('ESVD - Social Value of Bio'!T3&amp;"4",'ESVD - SUMMARY TABLE'!$E$2:$G$294,3,FALSE),0),0),IF(S3='ESVD - Land Use &amp; Climate Match'!$A$32,IF(SUM('Biodiversity Assessment'!$BF$102:$BF$106)=SUM('Biodiversity Assessment'!$BD$102:$BD$106),IF('Biodiversity Assessment'!$BF$102&gt;0,'Biodiversity Assessment'!$BF$102*VLOOKUP('ESVD - Social Value of Bio'!T3&amp;"1",'ESVD - SUMMARY TABLE'!$E$2:$G$294,3,FALSE),0)+IF('Biodiversity Assessment'!$BF$103&gt;0,'Biodiversity Assessment'!$BF$103*VLOOKUP('ESVD - Social Value of Bio'!T3&amp;"2",'ESVD - SUMMARY TABLE'!$E$2:$G$294,3,FALSE),0)+IF('Biodiversity Assessment'!$BF$104&gt;0,'Biodiversity Assessment'!$BF$104*VLOOKUP('ESVD - Social Value of Bio'!T3&amp;"3",'ESVD - SUMMARY TABLE'!$E$2:$G$294,3,FALSE),0)+IF('Biodiversity Assessment'!$BF$105&gt;0,'Biodiversity Assessment'!$BF$105*VLOOKUP('ESVD - Social Value of Bio'!T3&amp;"4",'ESVD - SUMMARY TABLE'!$E$2:$G$294,3,FALSE),0)+IF('Biodiversity Assessment'!$BF$106&gt;0,'Biodiversity Assessment'!$BF$106*VLOOKUP('ESVD - Social Value of Bio'!T3&amp;"5",'ESVD - SUMMARY TABLE'!$E$2:$G$294,3,FALSE),0),0),VLOOKUP('ESVD - Social Value of Bio'!T3&amp;"1",'ESVD - SUMMARY TABLE'!$E$2:$G$294,3,FALSE)))),0)</f>
        <v>0</v>
      </c>
      <c r="AB3" s="123">
        <f>'Biodiversity Assessment'!CX18</f>
        <v>0</v>
      </c>
      <c r="AC3" s="124">
        <f>IFERROR(IF(AB3&gt;0,AB3*'Biodiversity Assessment'!U18,IF(AA3&gt;0,AA3*'Biodiversity Assessment'!U18,Z3*'Biodiversity Assessment'!U18)),0)</f>
        <v>0</v>
      </c>
      <c r="AD3" s="456" t="e">
        <f>SUM(AC3:AC32)/SUM('Biodiversity Assessment'!U18:U47)</f>
        <v>#DIV/0!</v>
      </c>
      <c r="AG3" s="453">
        <f>(K3*Biodiversity!AI59)-(Y3*Biodiversity!AH59)</f>
        <v>0</v>
      </c>
    </row>
    <row r="4" spans="1:33" s="110" customFormat="1" ht="10.5" x14ac:dyDescent="0.25">
      <c r="A4" s="107" t="s">
        <v>209</v>
      </c>
      <c r="B4" s="108" t="str">
        <f>IF(Start!$D$28&gt;1000,CONCATENATE(Start!$D$20," Mountain"),Start!$D$20)</f>
        <v>Please select</v>
      </c>
      <c r="C4" s="108" t="str">
        <f>Start!$D$24</f>
        <v>Please select</v>
      </c>
      <c r="D4" s="109" t="str">
        <f>'Biodiversity Assessment'!G19</f>
        <v>Select land use</v>
      </c>
      <c r="E4" s="109" t="str">
        <f>IF(OR(D4=Data!$E$4,D4=Data!$E$5,D4=Data!$E$6,D4=Data!$E$7),Data!$E$4,IF(OR(D4=Data!$E$9,D4=Data!$E$10,D4=Data!$E$11),Data!$E$9,IF(OR(D4=Data!$E$12,D4=Data!$E$13,D4=Data!$E$14),"Cropland",IF(OR(D4=Data!$E$16,D4=Data!$E$17),"Agroforestry",D4))))</f>
        <v>Select land use</v>
      </c>
      <c r="F4" s="109" t="str">
        <f t="shared" ref="F4:F32" si="0">CONCATENATE($B$3,$C$3,E4)</f>
        <v>Please selectPlease selectSelect land use</v>
      </c>
      <c r="G4" s="122">
        <f>IFERROR(IF(E4='ESVD - Land Use &amp; Climate Match'!$A$1,IF('Biodiversity Assessment'!$J$102&gt;0,'Biodiversity Assessment'!$J$102*VLOOKUP('ESVD - Social Value of Bio'!F4&amp;"1",'ESVD - SUMMARY TABLE'!$E$2:$G$294,3,),0)+IF('Biodiversity Assessment'!$J$103&gt;0,'Biodiversity Assessment'!$J$103*VLOOKUP('ESVD - Social Value of Bio'!F4&amp;"2",'ESVD - SUMMARY TABLE'!$E$2:$G$294,3,),0)+IF('Biodiversity Assessment'!$J$104&gt;0,'Biodiversity Assessment'!$J$104*VLOOKUP('ESVD - Social Value of Bio'!F4&amp;"3",'ESVD - SUMMARY TABLE'!$E$2:$G$294,3,),0)+IF('Biodiversity Assessment'!$J$105&gt;0,'Biodiversity Assessment'!$J$105*VLOOKUP('ESVD - Social Value of Bio'!F4&amp;"4",'ESVD - SUMMARY TABLE'!$E$2:$G$294,3,),0),IF(E4='ESVD - Land Use &amp; Climate Match'!$A$11,IF('Biodiversity Assessment'!$Z$102&gt;0,'Biodiversity Assessment'!$Z$102*VLOOKUP('ESVD - Social Value of Bio'!F4&amp;"1",'ESVD - SUMMARY TABLE'!$E$2:$G$294,3,FALSE),0)+IF('Biodiversity Assessment'!$Z$103&gt;0,'Biodiversity Assessment'!$Z$103*VLOOKUP('ESVD - Social Value of Bio'!F4&amp;"2",'ESVD - SUMMARY TABLE'!$E$2:$G$294,3,FALSE),0)+IF('Biodiversity Assessment'!$Z$104&gt;0,'Biodiversity Assessment'!$Z$104*VLOOKUP('ESVD - Social Value of Bio'!F4&amp;"3",'ESVD - SUMMARY TABLE'!$E$2:$G$294,3,FALSE),0)+IF('Biodiversity Assessment'!$Z$105&gt;0,'Biodiversity Assessment'!$Z$105*VLOOKUP('ESVD - Social Value of Bio'!F4&amp;"4",'ESVD - SUMMARY TABLE'!$E$2:$G$294,3,FALSE),0),IF(E4='ESVD - Land Use &amp; Climate Match'!$A$32,IF('Biodiversity Assessment'!$BD$102&gt;0,'Biodiversity Assessment'!$BD$102*VLOOKUP('ESVD - Social Value of Bio'!F4&amp;"1",'ESVD - SUMMARY TABLE'!$E$2:$G$294,3,FALSE),0)+IF('Biodiversity Assessment'!$BD$103&gt;0,'Biodiversity Assessment'!$BD$103*VLOOKUP('ESVD - Social Value of Bio'!F4&amp;"2",'ESVD - SUMMARY TABLE'!$E$2:$G$294,3,FALSE),0)+IF('Biodiversity Assessment'!$BD$104&gt;0,'Biodiversity Assessment'!$BD$104*VLOOKUP('ESVD - Social Value of Bio'!F4&amp;"3",'ESVD - SUMMARY TABLE'!$E$2:$G$294,3,FALSE),0)+IF('Biodiversity Assessment'!$BD$105&gt;0,'Biodiversity Assessment'!$BD$105*VLOOKUP('ESVD - Social Value of Bio'!F4&amp;"4",'ESVD - SUMMARY TABLE'!$E$2:$G$294,3,FALSE),0)+IF('Biodiversity Assessment'!$BD$106&gt;0,'Biodiversity Assessment'!$BD$106*VLOOKUP('ESVD - Social Value of Bio'!F4&amp;"5",'ESVD - SUMMARY TABLE'!$E$2:$G$294,3,FALSE),0),AVERAGE(IF('Biodiversity Assessment'!$J$102&gt;0,'Biodiversity Assessment'!$J$102*VLOOKUP(CONCATENATE($B4,$C4,'ESVD - Land Use &amp; Climate Match'!$A$1)&amp;"1",'ESVD - SUMMARY TABLE'!$E$2:$G$294,3,),0)+IF('Biodiversity Assessment'!$J$103&gt;0,'Biodiversity Assessment'!$J$103*VLOOKUP(CONCATENATE($B4,$C4,'ESVD - Land Use &amp; Climate Match'!$A$1)&amp;"2",'ESVD - SUMMARY TABLE'!$E$2:$G$294,3,),0)+IF('Biodiversity Assessment'!$J$104&gt;0,'Biodiversity Assessment'!$J$104*VLOOKUP(CONCATENATE($B4,$C4,'ESVD - Land Use &amp; Climate Match'!$A$1)&amp;"3",'ESVD - SUMMARY TABLE'!$E$2:$G$294,3,),0)+IF('Biodiversity Assessment'!$J$105&gt;0,'Biodiversity Assessment'!$J$105*VLOOKUP(CONCATENATE($B4,$C4,'ESVD - Land Use &amp; Climate Match'!$A$1)&amp;"4",'ESVD - SUMMARY TABLE'!$E$2:$G$294,3,),0),IF('Biodiversity Assessment'!$Z$102&gt;0,'Biodiversity Assessment'!$Z$102*VLOOKUP(CONCATENATE($B4,$C4,'ESVD - Land Use &amp; Climate Match'!$A$11)&amp;"1",'ESVD - SUMMARY TABLE'!$E$2:$G$294,3,FALSE),0)+IF('Biodiversity Assessment'!$Z$103&gt;0,'Biodiversity Assessment'!$Z$103*VLOOKUP(CONCATENATE($B4,$C4,'ESVD - Land Use &amp; Climate Match'!$A$11)&amp;"2",'ESVD - SUMMARY TABLE'!$E$2:$G$294,3,FALSE),0)+IF('Biodiversity Assessment'!$Z$104&gt;0,'Biodiversity Assessment'!$Z$104*VLOOKUP(CONCATENATE($B4,$C4,'ESVD - Land Use &amp; Climate Match'!$A$11)&amp;"3",'ESVD - SUMMARY TABLE'!$E$2:$G$294,3,FALSE),0)+IF('Biodiversity Assessment'!$Z$105&gt;0,'Biodiversity Assessment'!$Z$105*VLOOKUP(CONCATENATE($B4,$C4,'ESVD - Land Use &amp; Climate Match'!$A$11)&amp;"4",'ESVD - SUMMARY TABLE'!$E$2:$G$294,3,FALSE),0),IF('Biodiversity Assessment'!$BD$102&gt;0,'Biodiversity Assessment'!$BD$102*VLOOKUP(CONCATENATE($B4,$C4,'ESVD - Land Use &amp; Climate Match'!$A$32)&amp;"1",'ESVD - SUMMARY TABLE'!$E$2:$G$294,3,FALSE),0)+IF('Biodiversity Assessment'!$BD$103&gt;0,'Biodiversity Assessment'!$BD$103*VLOOKUP(CONCATENATE($B4,$C4,'ESVD - Land Use &amp; Climate Match'!$A$32)&amp;"2",'ESVD - SUMMARY TABLE'!$E$2:$G$294,3,FALSE),0)+IF('Biodiversity Assessment'!$BD$104&gt;0,'Biodiversity Assessment'!$BD$104*VLOOKUP(CONCATENATE($B4,$C4,'ESVD - Land Use &amp; Climate Match'!$A$32)&amp;"3",'ESVD - SUMMARY TABLE'!$E$2:$G$294,3,FALSE),0)+IF('Biodiversity Assessment'!$BD$105&gt;0,'Biodiversity Assessment'!$BD$105*VLOOKUP(CONCATENATE($B4,$C4,'ESVD - Land Use &amp; Climate Match'!$A$32)&amp;"4",'ESVD - SUMMARY TABLE'!$E$2:$G$294,3,FALSE),0)+IF('Biodiversity Assessment'!$BD$106&gt;0,'Biodiversity Assessment'!$BD$106*VLOOKUP(CONCATENATE($B4,$C4,'ESVD - Land Use &amp; Climate Match'!$A$32)&amp;"5",'ESVD - SUMMARY TABLE'!$E$2:$G$294,3,FALSE)))))),0)</f>
        <v>0</v>
      </c>
      <c r="H4" s="122">
        <f>IFERROR(IF(E4='ESVD - Land Use &amp; Climate Match'!$A$1,IF(SUM('Biodiversity Assessment'!$O$102:$P$105)=SUM('Biodiversity Assessment'!$J$102:$M$105),IF('Biodiversity Assessment'!$O$102&gt;0,'Biodiversity Assessment'!$O$102*VLOOKUP('ESVD - Social Value of Bio'!F4&amp;"1",'ESVD - SUMMARY TABLE'!$E$2:$G$294,3,),0)+IF('Biodiversity Assessment'!$O$103&gt;0,'Biodiversity Assessment'!$O$103*VLOOKUP('ESVD - Social Value of Bio'!F4&amp;"2",'ESVD - SUMMARY TABLE'!$E$2:$G$294,3,),0)+IF('Biodiversity Assessment'!$O$104&gt;0,'Biodiversity Assessment'!$O$104*VLOOKUP('ESVD - Social Value of Bio'!F4&amp;"3",'ESVD - SUMMARY TABLE'!$E$2:$G$294,3,),0)+IF('Biodiversity Assessment'!$O$105&gt;0,'Biodiversity Assessment'!$O$105*VLOOKUP('ESVD - Social Value of Bio'!F4&amp;"4",'ESVD - SUMMARY TABLE'!$E$2:$G$294,3,),0),0),IF(E4='ESVD - Land Use &amp; Climate Match'!$A$11,IF(SUM('Biodiversity Assessment'!$AH$102:$AN$105)=SUM('Biodiversity Assessment'!$Z$102:$AF$105),IF('Biodiversity Assessment'!$AH$102&gt;0,'Biodiversity Assessment'!$AH$102*VLOOKUP('ESVD - Social Value of Bio'!F4&amp;"1",'ESVD - SUMMARY TABLE'!$E$2:$G$294,3,FALSE),0)+IF('Biodiversity Assessment'!$AH$103&gt;0,'Biodiversity Assessment'!$AH$103*VLOOKUP('ESVD - Social Value of Bio'!F4&amp;"2",'ESVD - SUMMARY TABLE'!$E$2:$G$294,3,FALSE),0)+IF('Biodiversity Assessment'!$AH$104&gt;0,'Biodiversity Assessment'!$AH$104*VLOOKUP('ESVD - Social Value of Bio'!F4&amp;"3",'ESVD - SUMMARY TABLE'!$E$2:$G$294,3,FALSE),0)+IF('Biodiversity Assessment'!$AH$105&gt;0,'Biodiversity Assessment'!$AH$105*VLOOKUP('ESVD - Social Value of Bio'!F4&amp;"4",'ESVD - SUMMARY TABLE'!$E$2:$G$294,3,FALSE),0),0),IF(E4='ESVD - Land Use &amp; Climate Match'!$A$32,IF(SUM('Biodiversity Assessment'!$BF$102:$BF$106)=SUM('Biodiversity Assessment'!$BD$102:$BD$106),IF('Biodiversity Assessment'!$BF$102&gt;0,'Biodiversity Assessment'!$BF$102*VLOOKUP('ESVD - Social Value of Bio'!F4&amp;"1",'ESVD - SUMMARY TABLE'!$E$2:$G$294,3,FALSE),0)+IF('Biodiversity Assessment'!$BF$103&gt;0,'Biodiversity Assessment'!$BF$103*VLOOKUP('ESVD - Social Value of Bio'!F4&amp;"2",'ESVD - SUMMARY TABLE'!$E$2:$G$294,3,FALSE),0)+IF('Biodiversity Assessment'!$BF$104&gt;0,'Biodiversity Assessment'!$BF$104*VLOOKUP('ESVD - Social Value of Bio'!F4&amp;"3",'ESVD - SUMMARY TABLE'!$E$2:$G$294,3,FALSE),0)+IF('Biodiversity Assessment'!$BF$105&gt;0,'Biodiversity Assessment'!$BF$105*VLOOKUP('ESVD - Social Value of Bio'!F4&amp;"4",'ESVD - SUMMARY TABLE'!$E$2:$G$294,3,FALSE),0)+IF('Biodiversity Assessment'!$BF$106&gt;0,'Biodiversity Assessment'!$BF$106*VLOOKUP('ESVD - Social Value of Bio'!F4&amp;"5",'ESVD - SUMMARY TABLE'!$E$2:$G$294,3,FALSE),0),0),AVERAGE(IF(SUM('Biodiversity Assessment'!$O$102:$P$105)=SUM('Biodiversity Assessment'!$J$102:$M$105),IF('Biodiversity Assessment'!$O$102&gt;0,'Biodiversity Assessment'!$O$102*VLOOKUP(CONCATENATE($B4,$C4,'ESVD - Land Use &amp; Climate Match'!$A$1)&amp;"1",'ESVD - SUMMARY TABLE'!$E$2:$G$294,3,),0)+IF('Biodiversity Assessment'!$O$103&gt;0,'Biodiversity Assessment'!$O$103*VLOOKUP(CONCATENATE($B4,$C4,'ESVD - Land Use &amp; Climate Match'!$A$1)&amp;"2",'ESVD - SUMMARY TABLE'!$E$2:$G$294,3,),0)+IF('Biodiversity Assessment'!$O$104&gt;0,'Biodiversity Assessment'!$O$104*VLOOKUP(CONCATENATE($B4,$C4,'ESVD - Land Use &amp; Climate Match'!$A$1)&amp;"3",'ESVD - SUMMARY TABLE'!$E$2:$G$294,3,),0)+IF('Biodiversity Assessment'!$O$105&gt;0,'Biodiversity Assessment'!$O$105*VLOOKUP(CONCATENATE($B4,$C4,'ESVD - Land Use &amp; Climate Match'!$A$1)&amp;"4",'ESVD - SUMMARY TABLE'!$E$2:$G$294,3,),0),0),IF(SUM('Biodiversity Assessment'!$AH$102:$AN$105)=SUM('Biodiversity Assessment'!$Z$102:$AF$105),IF('Biodiversity Assessment'!$AH$102&gt;0,'Biodiversity Assessment'!$AH$102*VLOOKUP(CONCATENATE($B4,$C4,'ESVD - Land Use &amp; Climate Match'!$A$11)&amp;"1",'ESVD - SUMMARY TABLE'!$E$2:$G$294,3,FALSE),0)+IF('Biodiversity Assessment'!$AH$103&gt;0,'Biodiversity Assessment'!$AH$103*VLOOKUP(CONCATENATE($B4,$C4,'ESVD - Land Use &amp; Climate Match'!$A$11)&amp;"2",'ESVD - SUMMARY TABLE'!$E$2:$G$294,3,FALSE),0)+IF('Biodiversity Assessment'!$AH$104&gt;0,'Biodiversity Assessment'!$AH$104*VLOOKUP(CONCATENATE($B4,$C4,'ESVD - Land Use &amp; Climate Match'!$A$11)&amp;"3",'ESVD - SUMMARY TABLE'!$E$2:$G$294,3,FALSE),0)+IF('Biodiversity Assessment'!$AH$105&gt;0,'Biodiversity Assessment'!$AH$105*VLOOKUP(CONCATENATE($B4,$C4,'ESVD - Land Use &amp; Climate Match'!$A$11)&amp;"4",'ESVD - SUMMARY TABLE'!$E$2:$G$294,3,FALSE),0),0),IF(SUM('Biodiversity Assessment'!$BF$102:$BF$106)=SUM('Biodiversity Assessment'!$BD$102:$BD$106),IF('Biodiversity Assessment'!$BF$102&gt;0,'Biodiversity Assessment'!$BF$102*VLOOKUP(CONCATENATE($B4,$C4,'ESVD - Land Use &amp; Climate Match'!$A$32)&amp;"1",'ESVD - SUMMARY TABLE'!$E$2:$G$294,3,FALSE),0)+IF('Biodiversity Assessment'!$BF$103&gt;0,'Biodiversity Assessment'!$BF$103*VLOOKUP(CONCATENATE($B4,$C4,'ESVD - Land Use &amp; Climate Match'!$A$32)&amp;"2",'ESVD - SUMMARY TABLE'!$E$2:$G$294,3,FALSE),0)+IF('Biodiversity Assessment'!$BF$104&gt;0,'Biodiversity Assessment'!$BF$104*VLOOKUP(CONCATENATE($B4,$C4,'ESVD - Land Use &amp; Climate Match'!$A$32)&amp;"3",'ESVD - SUMMARY TABLE'!$E$2:$G$294,3,FALSE),0)+IF('Biodiversity Assessment'!$BF$105&gt;0,'Biodiversity Assessment'!$BF$105*VLOOKUP(CONCATENATE($B4,$C4,'ESVD - Land Use &amp; Climate Match'!$A$32)&amp;"4",'ESVD - SUMMARY TABLE'!$E$2:$G$294,3,FALSE),0)+IF('Biodiversity Assessment'!$BF$106&gt;0,'Biodiversity Assessment'!$BF$106*VLOOKUP(CONCATENATE($B4,$C4,'ESVD - Land Use &amp; Climate Match'!$A$32)&amp;"5",'ESVD - SUMMARY TABLE'!$E$2:$G$294,3,FALSE),0),0))))),0)</f>
        <v>0</v>
      </c>
      <c r="I4" s="122">
        <f>'Biodiversity Assessment'!CR19</f>
        <v>0</v>
      </c>
      <c r="J4" s="122">
        <f>IFERROR(IF(I4&gt;0,I4*'Biodiversity Assessment'!$M19,IF(H4&gt;0,H4*'Biodiversity Assessment'!$M19,G4*'Biodiversity Assessment'!$M19)),0)</f>
        <v>0</v>
      </c>
      <c r="K4" s="454"/>
      <c r="L4" s="123">
        <f>IFERROR(IF(E4='ESVD - Land Use &amp; Climate Match'!$A$1,IF('Biodiversity Assessment'!$J$102&gt;0,'Biodiversity Assessment'!$J$102*VLOOKUP('ESVD - Social Value of Bio'!F4&amp;"1",'ESVD - SUMMARY TABLE'!$E$2:$G$294,3,),0)+IF('Biodiversity Assessment'!$J$103&gt;0,'Biodiversity Assessment'!$J$103*VLOOKUP('ESVD - Social Value of Bio'!F4&amp;"2",'ESVD - SUMMARY TABLE'!$E$2:$G$294,3,),0)+IF('Biodiversity Assessment'!$J$104&gt;0,'Biodiversity Assessment'!$J$104*VLOOKUP('ESVD - Social Value of Bio'!F4&amp;"3",'ESVD - SUMMARY TABLE'!$E$2:$G$294,3,),0)+IF('Biodiversity Assessment'!$J$105&gt;0,'Biodiversity Assessment'!$J$105*VLOOKUP('ESVD - Social Value of Bio'!F4&amp;"4",'ESVD - SUMMARY TABLE'!$E$2:$G$294,3,),0),IF(E4='ESVD - Land Use &amp; Climate Match'!$A$11,IF('Biodiversity Assessment'!$Z$102&gt;0,'Biodiversity Assessment'!$Z$102*VLOOKUP('ESVD - Social Value of Bio'!F4&amp;"1",'ESVD - SUMMARY TABLE'!$E$2:$G$294,3,FALSE),0)+IF('Biodiversity Assessment'!$Z$103&gt;0,'Biodiversity Assessment'!$Z$103*VLOOKUP('ESVD - Social Value of Bio'!F4&amp;"2",'ESVD - SUMMARY TABLE'!$E$2:$G$294,3,FALSE),0)+IF('Biodiversity Assessment'!$Z$104&gt;0,'Biodiversity Assessment'!$Z$104*VLOOKUP('ESVD - Social Value of Bio'!F4&amp;"3",'ESVD - SUMMARY TABLE'!$E$2:$G$294,3,FALSE),0)+IF('Biodiversity Assessment'!$Z$105&gt;0,'Biodiversity Assessment'!$Z$105*VLOOKUP('ESVD - Social Value of Bio'!F4&amp;"4",'ESVD - SUMMARY TABLE'!$E$2:$G$294,3,FALSE),0),IF(E4='ESVD - Land Use &amp; Climate Match'!$A$32,IF('Biodiversity Assessment'!$BD$102&gt;0,'Biodiversity Assessment'!$BD$102*VLOOKUP('ESVD - Social Value of Bio'!F4&amp;"1",'ESVD - SUMMARY TABLE'!$E$2:$G$294,3,FALSE),0)+IF('Biodiversity Assessment'!$BD$103&gt;0,'Biodiversity Assessment'!$BD$103*VLOOKUP('ESVD - Social Value of Bio'!F4&amp;"2",'ESVD - SUMMARY TABLE'!$E$2:$G$294,3,FALSE),0)+IF('Biodiversity Assessment'!$BD$104&gt;0,'Biodiversity Assessment'!$BD$104*VLOOKUP('ESVD - Social Value of Bio'!F4&amp;"3",'ESVD - SUMMARY TABLE'!$E$2:$G$294,3,FALSE),0)+IF('Biodiversity Assessment'!$BD$105&gt;0,'Biodiversity Assessment'!$BD$105*VLOOKUP('ESVD - Social Value of Bio'!F4&amp;"4",'ESVD - SUMMARY TABLE'!$E$2:$G$294,3,FALSE),0)+IF('Biodiversity Assessment'!$BD$106&gt;0,'Biodiversity Assessment'!$BD$106*VLOOKUP('ESVD - Social Value of Bio'!F4&amp;"5",'ESVD - SUMMARY TABLE'!$E$2:$G$294,3,FALSE),0),VLOOKUP('ESVD - Social Value of Bio'!F4&amp;"1",'ESVD - SUMMARY TABLE'!$E$2:$G$294,3,FALSE)))),0)</f>
        <v>0</v>
      </c>
      <c r="M4" s="123">
        <f>IFERROR(IF(E4='ESVD - Land Use &amp; Climate Match'!$A$1,IF(SUM('Biodiversity Assessment'!$O$102:$P$105)=SUM('Biodiversity Assessment'!$J$102:$M$105),IF('Biodiversity Assessment'!$O$102&gt;0,'Biodiversity Assessment'!$O$102*VLOOKUP('ESVD - Social Value of Bio'!F4&amp;"1",'ESVD - SUMMARY TABLE'!$E$2:$G$294,3,),0)+IF('Biodiversity Assessment'!$O$103&gt;0,'Biodiversity Assessment'!$O$103*VLOOKUP('ESVD - Social Value of Bio'!F4&amp;"2",'ESVD - SUMMARY TABLE'!$E$2:$G$294,3,),0)+IF('Biodiversity Assessment'!$O$104&gt;0,'Biodiversity Assessment'!$O$104*VLOOKUP('ESVD - Social Value of Bio'!F4&amp;"3",'ESVD - SUMMARY TABLE'!$E$2:$G$294,3,),0)+IF('Biodiversity Assessment'!$O$105&gt;0,'Biodiversity Assessment'!$O$105*VLOOKUP('ESVD - Social Value of Bio'!F4&amp;"4",'ESVD - SUMMARY TABLE'!$E$2:$G$294,3,),0),0),IF(E4='ESVD - Land Use &amp; Climate Match'!$A$11,IF(SUM('Biodiversity Assessment'!$AH$102:$AN$105)=SUM('Biodiversity Assessment'!$Z$102:$AF$105),IF('Biodiversity Assessment'!$AH$102&gt;0,'Biodiversity Assessment'!$AH$102*VLOOKUP('ESVD - Social Value of Bio'!F4&amp;"1",'ESVD - SUMMARY TABLE'!$E$2:$G$294,3,FALSE),0)+IF('Biodiversity Assessment'!$AH$103&gt;0,'Biodiversity Assessment'!$AH$103*VLOOKUP('ESVD - Social Value of Bio'!F4&amp;"2",'ESVD - SUMMARY TABLE'!$E$2:$G$294,3,FALSE),0)+IF('Biodiversity Assessment'!$AH$104&gt;0,'Biodiversity Assessment'!$AH$104*VLOOKUP('ESVD - Social Value of Bio'!F4&amp;"3",'ESVD - SUMMARY TABLE'!$E$2:$G$294,3,FALSE),0)+IF('Biodiversity Assessment'!$AH$105&gt;0,'Biodiversity Assessment'!$AH$105*VLOOKUP('ESVD - Social Value of Bio'!F4&amp;"4",'ESVD - SUMMARY TABLE'!$E$2:$G$294,3,FALSE),0),0),IF(E4='ESVD - Land Use &amp; Climate Match'!$A$32,IF(SUM('Biodiversity Assessment'!$BF$102:$BF$106)=SUM('Biodiversity Assessment'!$BD$102:$BD$106),IF('Biodiversity Assessment'!$BF$102&gt;0,'Biodiversity Assessment'!$BF$102*VLOOKUP('ESVD - Social Value of Bio'!F4&amp;"1",'ESVD - SUMMARY TABLE'!$E$2:$G$294,3,FALSE),0)+IF('Biodiversity Assessment'!$BF$103&gt;0,'Biodiversity Assessment'!$BF$103*VLOOKUP('ESVD - Social Value of Bio'!F4&amp;"2",'ESVD - SUMMARY TABLE'!$E$2:$G$294,3,FALSE),0)+IF('Biodiversity Assessment'!$BF$104&gt;0,'Biodiversity Assessment'!$BF$104*VLOOKUP('ESVD - Social Value of Bio'!F4&amp;"3",'ESVD - SUMMARY TABLE'!$E$2:$G$294,3,FALSE),0)+IF('Biodiversity Assessment'!$BF$105&gt;0,'Biodiversity Assessment'!$BF$105*VLOOKUP('ESVD - Social Value of Bio'!F4&amp;"4",'ESVD - SUMMARY TABLE'!$E$2:$G$294,3,FALSE),0)+IF('Biodiversity Assessment'!$BF$106&gt;0,'Biodiversity Assessment'!$BF$106*VLOOKUP('ESVD - Social Value of Bio'!F4&amp;"5",'ESVD - SUMMARY TABLE'!$E$2:$G$294,3,FALSE),0),0),VLOOKUP('ESVD - Social Value of Bio'!F4&amp;"1",'ESVD - SUMMARY TABLE'!$E$2:$G$294,3,FALSE)))),0)</f>
        <v>0</v>
      </c>
      <c r="N4" s="123">
        <f>'Biodiversity Assessment'!CR19</f>
        <v>0</v>
      </c>
      <c r="O4" s="124">
        <f>IFERROR(IF(N4&gt;0,N4*'Biodiversity Assessment'!M19,IF(M4&gt;0,M4*'Biodiversity Assessment'!M19,L4*'Biodiversity Assessment'!M19)),0)</f>
        <v>0</v>
      </c>
      <c r="P4" s="456"/>
      <c r="R4" s="108" t="str">
        <f>'Biodiversity Assessment'!O19</f>
        <v>Select land use</v>
      </c>
      <c r="S4" s="109" t="str">
        <f>IF(OR(R4=Data!$E$4,R4=Data!$E$5,R4=Data!$E$6,R4=Data!$E$7),Data!$E$4,IF(OR(R4=Data!$E$9,R4=Data!$E$10,R4=Data!$E$11),Data!$E$9,IF(OR(R4=Data!$E$12,R4=Data!$E$13,R4=Data!$E$14),"Cropland",IF(OR(R4=Data!$E$16,R4=Data!$E$17),"Agroforestry",R4))))</f>
        <v>Select land use</v>
      </c>
      <c r="T4" s="109" t="str">
        <f t="shared" ref="T4:T32" si="1">CONCATENATE($B$3,$C$3,S4)</f>
        <v>Please selectPlease selectSelect land use</v>
      </c>
      <c r="U4" s="122">
        <f>IFERROR(IF(S4='ESVD - Land Use &amp; Climate Match'!$A$1,IF('Biodiversity Assessment'!$J$102&gt;0,'Biodiversity Assessment'!$J$102*VLOOKUP('ESVD - Social Value of Bio'!T4&amp;"1",'ESVD - SUMMARY TABLE'!$E$2:$G$294,3,),0)+IF('Biodiversity Assessment'!$J$103&gt;0,'Biodiversity Assessment'!$J$103*VLOOKUP('ESVD - Social Value of Bio'!T4&amp;"2",'ESVD - SUMMARY TABLE'!$E$2:$G$294,3,),0)+IF('Biodiversity Assessment'!$J$104&gt;0,'Biodiversity Assessment'!$J$104*VLOOKUP('ESVD - Social Value of Bio'!T4&amp;"3",'ESVD - SUMMARY TABLE'!$E$2:$G$294,3,),0)+IF('Biodiversity Assessment'!$J$105&gt;0,'Biodiversity Assessment'!$J$105*VLOOKUP('ESVD - Social Value of Bio'!T4&amp;"4",'ESVD - SUMMARY TABLE'!$E$2:$G$294,3,),0),IF(S4='ESVD - Land Use &amp; Climate Match'!$A$11,IF('Biodiversity Assessment'!$Z$102&gt;0,'Biodiversity Assessment'!$Z$102*VLOOKUP('ESVD - Social Value of Bio'!T4&amp;"1",'ESVD - SUMMARY TABLE'!$E$2:$G$294,3,FALSE),0)+IF('Biodiversity Assessment'!$Z$103&gt;0,'Biodiversity Assessment'!$Z$103*VLOOKUP('ESVD - Social Value of Bio'!T4&amp;"2",'ESVD - SUMMARY TABLE'!$E$2:$G$294,3,FALSE),0)+IF('Biodiversity Assessment'!$Z$104&gt;0,'Biodiversity Assessment'!$Z$104*VLOOKUP('ESVD - Social Value of Bio'!T4&amp;"3",'ESVD - SUMMARY TABLE'!$E$2:$G$294,3,FALSE),0)+IF('Biodiversity Assessment'!$Z$105&gt;0,'Biodiversity Assessment'!$Z$105*VLOOKUP('ESVD - Social Value of Bio'!T4&amp;"4",'ESVD - SUMMARY TABLE'!$E$2:$G$294,3,FALSE),0),IF(S4='ESVD - Land Use &amp; Climate Match'!$A$32,IF('Biodiversity Assessment'!$BD$102&gt;0,'Biodiversity Assessment'!$BD$102*VLOOKUP('ESVD - Social Value of Bio'!T4&amp;"1",'ESVD - SUMMARY TABLE'!$E$2:$G$294,3,FALSE),0)+IF('Biodiversity Assessment'!$BD$103&gt;0,'Biodiversity Assessment'!$BD$103*VLOOKUP('ESVD - Social Value of Bio'!T4&amp;"2",'ESVD - SUMMARY TABLE'!$E$2:$G$294,3,FALSE),0)+IF('Biodiversity Assessment'!$BD$104&gt;0,'Biodiversity Assessment'!$BD$104*VLOOKUP('ESVD - Social Value of Bio'!T4&amp;"3",'ESVD - SUMMARY TABLE'!$E$2:$G$294,3,FALSE),0)+IF('Biodiversity Assessment'!$BD$105&gt;0,'Biodiversity Assessment'!$BD$105*VLOOKUP('ESVD - Social Value of Bio'!T4&amp;"4",'ESVD - SUMMARY TABLE'!$E$2:$G$294,3,FALSE),0)+IF('Biodiversity Assessment'!$BD$106&gt;0,'Biodiversity Assessment'!$BD$106*VLOOKUP('ESVD - Social Value of Bio'!T4&amp;"5",'ESVD - SUMMARY TABLE'!$E$2:$G$294,3,FALSE),0),AVERAGE(IF('Biodiversity Assessment'!$J$102&gt;0,'Biodiversity Assessment'!$J$102*VLOOKUP(CONCATENATE(B4,C4,'ESVD - Land Use &amp; Climate Match'!$A$1)&amp;"1",'ESVD - SUMMARY TABLE'!$E$2:$G$294,3,),0)+IF('Biodiversity Assessment'!$J$103&gt;0,'Biodiversity Assessment'!$J$103*VLOOKUP(CONCATENATE(B4,C4,'ESVD - Land Use &amp; Climate Match'!$A$1)&amp;"2",'ESVD - SUMMARY TABLE'!$E$2:$G$294,3,),0)+IF('Biodiversity Assessment'!$J$104&gt;0,'Biodiversity Assessment'!$J$104*VLOOKUP(CONCATENATE(B4,C4,'ESVD - Land Use &amp; Climate Match'!$A$1)&amp;"3",'ESVD - SUMMARY TABLE'!$E$2:$G$294,3,),0)+IF('Biodiversity Assessment'!$J$105&gt;0,'Biodiversity Assessment'!$J$105*VLOOKUP(CONCATENATE(B4,C4,'ESVD - Land Use &amp; Climate Match'!$A$1)&amp;"4",'ESVD - SUMMARY TABLE'!$E$2:$G$294,3,),0),IF('Biodiversity Assessment'!$Z$102&gt;0,'Biodiversity Assessment'!$Z$102*VLOOKUP(CONCATENATE(B4,C4,'ESVD - Land Use &amp; Climate Match'!$A$11)&amp;"1",'ESVD - SUMMARY TABLE'!$E$2:$G$294,3,FALSE),0)+IF('Biodiversity Assessment'!$Z$103&gt;0,'Biodiversity Assessment'!$Z$103*VLOOKUP(CONCATENATE(B4,C4,'ESVD - Land Use &amp; Climate Match'!$A$11)&amp;"2",'ESVD - SUMMARY TABLE'!$E$2:$G$294,3,FALSE),0)+IF('Biodiversity Assessment'!$Z$104&gt;0,'Biodiversity Assessment'!$Z$104*VLOOKUP(CONCATENATE(B4,C4,'ESVD - Land Use &amp; Climate Match'!$A$11)&amp;"3",'ESVD - SUMMARY TABLE'!$E$2:$G$294,3,FALSE),0)+IF('Biodiversity Assessment'!$Z$105&gt;0,'Biodiversity Assessment'!$Z$105*VLOOKUP(CONCATENATE(B4,C4,'ESVD - Land Use &amp; Climate Match'!$A$11)&amp;"4",'ESVD - SUMMARY TABLE'!$E$2:$G$294,3,FALSE),0),IF('Biodiversity Assessment'!$BD$102&gt;0,'Biodiversity Assessment'!$BD$102*VLOOKUP(CONCATENATE(B4,C4,'ESVD - Land Use &amp; Climate Match'!$A$32)&amp;"1",'ESVD - SUMMARY TABLE'!$E$2:$G$294,3,FALSE),0)+IF('Biodiversity Assessment'!$BD$103&gt;0,'Biodiversity Assessment'!$BD$103*VLOOKUP(CONCATENATE(B4,C4,'ESVD - Land Use &amp; Climate Match'!$A$32)&amp;"2",'ESVD - SUMMARY TABLE'!$E$2:$G$294,3,FALSE),0)+IF('Biodiversity Assessment'!$BD$104&gt;0,'Biodiversity Assessment'!$BD$104*VLOOKUP(CONCATENATE(B4,C4,'ESVD - Land Use &amp; Climate Match'!$A$32)&amp;"3",'ESVD - SUMMARY TABLE'!$E$2:$G$294,3,FALSE),0)+IF('Biodiversity Assessment'!$BD$105&gt;0,'Biodiversity Assessment'!$BD$105*VLOOKUP(CONCATENATE(B4,C4,'ESVD - Land Use &amp; Climate Match'!$A$32)&amp;"4",'ESVD - SUMMARY TABLE'!$E$2:$G$294,3,FALSE),0)+IF('Biodiversity Assessment'!$BD$106&gt;0,'Biodiversity Assessment'!$BD$106*VLOOKUP(CONCATENATE(B4,C4,'ESVD - Land Use &amp; Climate Match'!$A$32)&amp;"5",'ESVD - SUMMARY TABLE'!$E$2:$G$294,3,FALSE)))))),0)</f>
        <v>0</v>
      </c>
      <c r="V4" s="122">
        <f>IFERROR(IF(S4='ESVD - Land Use &amp; Climate Match'!$A$1,IF(SUM('Biodiversity Assessment'!$O$102:$P$105)=SUM('Biodiversity Assessment'!$J$102:$M$105),IF('Biodiversity Assessment'!$O$102&gt;0,'Biodiversity Assessment'!$O$102*VLOOKUP('ESVD - Social Value of Bio'!T4&amp;"1",'ESVD - SUMMARY TABLE'!$E$2:$G$294,3,),0)+IF('Biodiversity Assessment'!$O$103&gt;0,'Biodiversity Assessment'!$O$103*VLOOKUP('ESVD - Social Value of Bio'!T4&amp;"2",'ESVD - SUMMARY TABLE'!$E$2:$G$294,3,),0)+IF('Biodiversity Assessment'!$O$104&gt;0,'Biodiversity Assessment'!$O$104*VLOOKUP('ESVD - Social Value of Bio'!T4&amp;"3",'ESVD - SUMMARY TABLE'!$E$2:$G$294,3,),0)+IF('Biodiversity Assessment'!$O$105&gt;0,'Biodiversity Assessment'!$O$105*VLOOKUP('ESVD - Social Value of Bio'!T4&amp;"4",'ESVD - SUMMARY TABLE'!$E$2:$G$294,3,),0),0),IF(S4='ESVD - Land Use &amp; Climate Match'!$A$11,IF(SUM('Biodiversity Assessment'!$AH$102:$AN$105)=SUM('Biodiversity Assessment'!$Z$102:$AF$105),IF('Biodiversity Assessment'!$AH$102&gt;0,'Biodiversity Assessment'!$AH$102*VLOOKUP('ESVD - Social Value of Bio'!T4&amp;"1",'ESVD - SUMMARY TABLE'!$E$2:$G$294,3,FALSE),0)+IF('Biodiversity Assessment'!$AH$103&gt;0,'Biodiversity Assessment'!$AH$103*VLOOKUP('ESVD - Social Value of Bio'!T4&amp;"2",'ESVD - SUMMARY TABLE'!$E$2:$G$294,3,FALSE),0)+IF('Biodiversity Assessment'!$AH$104&gt;0,'Biodiversity Assessment'!$AH$104*VLOOKUP('ESVD - Social Value of Bio'!T4&amp;"3",'ESVD - SUMMARY TABLE'!$E$2:$G$294,3,FALSE),0)+IF('Biodiversity Assessment'!$AH$105&gt;0,'Biodiversity Assessment'!$AH$105*VLOOKUP('ESVD - Social Value of Bio'!T4&amp;"4",'ESVD - SUMMARY TABLE'!$E$2:$G$294,3,FALSE),0),0),IF(S4='ESVD - Land Use &amp; Climate Match'!$A$32,IF(SUM('Biodiversity Assessment'!$BF$102:$BF$106)=SUM('Biodiversity Assessment'!$BD$102:$BD$106),IF('Biodiversity Assessment'!$BF$102&gt;0,'Biodiversity Assessment'!$BF$102*VLOOKUP('ESVD - Social Value of Bio'!T4&amp;"1",'ESVD - SUMMARY TABLE'!$E$2:$G$294,3,FALSE),0)+IF('Biodiversity Assessment'!$BF$103&gt;0,'Biodiversity Assessment'!$BF$103*VLOOKUP('ESVD - Social Value of Bio'!T4&amp;"2",'ESVD - SUMMARY TABLE'!$E$2:$G$294,3,FALSE),0)+IF('Biodiversity Assessment'!$BF$104&gt;0,'Biodiversity Assessment'!$BF$104*VLOOKUP('ESVD - Social Value of Bio'!T4&amp;"3",'ESVD - SUMMARY TABLE'!$E$2:$G$294,3,FALSE),0)+IF('Biodiversity Assessment'!$BF$105&gt;0,'Biodiversity Assessment'!$BF$105*VLOOKUP('ESVD - Social Value of Bio'!T4&amp;"4",'ESVD - SUMMARY TABLE'!$E$2:$G$294,3,FALSE),0)+IF('Biodiversity Assessment'!$BF$106&gt;0,'Biodiversity Assessment'!$BF$106*VLOOKUP('ESVD - Social Value of Bio'!T4&amp;"5",'ESVD - SUMMARY TABLE'!$E$2:$G$294,3,FALSE),0),0),AVERAGE(IF(SUM('Biodiversity Assessment'!$O$102:$P$105)=SUM('Biodiversity Assessment'!$J$102:$M$105),IF('Biodiversity Assessment'!$O$102&gt;0,'Biodiversity Assessment'!$O$102*VLOOKUP(CONCATENATE($B4,$C4,'ESVD - Land Use &amp; Climate Match'!$A$1)&amp;"1",'ESVD - SUMMARY TABLE'!$E$2:$G$294,3,),0)+IF('Biodiversity Assessment'!$O$103&gt;0,'Biodiversity Assessment'!$O$103*VLOOKUP(CONCATENATE($B4,$C4,'ESVD - Land Use &amp; Climate Match'!$A$1)&amp;"2",'ESVD - SUMMARY TABLE'!$E$2:$G$294,3,),0)+IF('Biodiversity Assessment'!$O$104&gt;0,'Biodiversity Assessment'!$O$104*VLOOKUP(CONCATENATE($B4,$C4,'ESVD - Land Use &amp; Climate Match'!$A$1)&amp;"3",'ESVD - SUMMARY TABLE'!$E$2:$G$294,3,),0)+IF('Biodiversity Assessment'!$O$105&gt;0,'Biodiversity Assessment'!$O$105*VLOOKUP(CONCATENATE($B4,$C4,'ESVD - Land Use &amp; Climate Match'!$A$1)&amp;"4",'ESVD - SUMMARY TABLE'!$E$2:$G$294,3,),0),0),IF(SUM('Biodiversity Assessment'!$AH$102:$AN$105)=SUM('Biodiversity Assessment'!$Z$102:$AF$105),IF('Biodiversity Assessment'!$AH$102&gt;0,'Biodiversity Assessment'!$AH$102*VLOOKUP(CONCATENATE($B4,$C4,'ESVD - Land Use &amp; Climate Match'!$A$11)&amp;"1",'ESVD - SUMMARY TABLE'!$E$2:$G$294,3,FALSE),0)+IF('Biodiversity Assessment'!$AH$103&gt;0,'Biodiversity Assessment'!$AH$103*VLOOKUP(CONCATENATE($B4,$C4,'ESVD - Land Use &amp; Climate Match'!$A$11)&amp;"2",'ESVD - SUMMARY TABLE'!$E$2:$G$294,3,FALSE),0)+IF('Biodiversity Assessment'!$AH$104&gt;0,'Biodiversity Assessment'!$AH$104*VLOOKUP(CONCATENATE($B4,$C4,'ESVD - Land Use &amp; Climate Match'!$A$11)&amp;"3",'ESVD - SUMMARY TABLE'!$E$2:$G$294,3,FALSE),0)+IF('Biodiversity Assessment'!$AH$105&gt;0,'Biodiversity Assessment'!$AH$105*VLOOKUP(CONCATENATE($B4,$C4,'ESVD - Land Use &amp; Climate Match'!$A$11)&amp;"4",'ESVD - SUMMARY TABLE'!$E$2:$G$294,3,FALSE),0),0),IF(SUM('Biodiversity Assessment'!$BF$102:$BF$106)=SUM('Biodiversity Assessment'!$BD$102:$BD$106),IF('Biodiversity Assessment'!$BF$102&gt;0,'Biodiversity Assessment'!$BF$102*VLOOKUP(CONCATENATE($B4,$C4,'ESVD - Land Use &amp; Climate Match'!$A$32)&amp;"1",'ESVD - SUMMARY TABLE'!$E$2:$G$294,3,FALSE),0)+IF('Biodiversity Assessment'!$BF$103&gt;0,'Biodiversity Assessment'!$BF$103*VLOOKUP(CONCATENATE($B4,$C4,'ESVD - Land Use &amp; Climate Match'!$A$32)&amp;"2",'ESVD - SUMMARY TABLE'!$E$2:$G$294,3,FALSE),0)+IF('Biodiversity Assessment'!$BF$104&gt;0,'Biodiversity Assessment'!$BF$104*VLOOKUP(CONCATENATE($B4,$C4,'ESVD - Land Use &amp; Climate Match'!$A$32)&amp;"3",'ESVD - SUMMARY TABLE'!$E$2:$G$294,3,FALSE),0)+IF('Biodiversity Assessment'!$BF$105&gt;0,'Biodiversity Assessment'!$BF$105*VLOOKUP(CONCATENATE($B4,$C4,'ESVD - Land Use &amp; Climate Match'!$A$32)&amp;"4",'ESVD - SUMMARY TABLE'!$E$2:$G$294,3,FALSE),0)+IF('Biodiversity Assessment'!$BF$106&gt;0,'Biodiversity Assessment'!$BF$106*VLOOKUP(CONCATENATE($B4,$C4,'ESVD - Land Use &amp; Climate Match'!$A$32)&amp;"5",'ESVD - SUMMARY TABLE'!$E$2:$G$294,3,FALSE),0),0))))),0)</f>
        <v>0</v>
      </c>
      <c r="W4" s="122">
        <f>'Biodiversity Assessment'!CX19</f>
        <v>0</v>
      </c>
      <c r="X4" s="122">
        <f>IFERROR(IF(W4&gt;0,W4*'Biodiversity Assessment'!$U19,IF(V4&gt;0,V4*'Biodiversity Assessment'!$U19,U4*'Biodiversity Assessment'!$U19)),0)</f>
        <v>0</v>
      </c>
      <c r="Y4" s="454"/>
      <c r="Z4" s="123">
        <f>IFERROR(IF(S4='ESVD - Land Use &amp; Climate Match'!$A$1,IF('Biodiversity Assessment'!$J$102&gt;0,'Biodiversity Assessment'!$J$102*VLOOKUP('ESVD - Social Value of Bio'!T4&amp;"1",'ESVD - SUMMARY TABLE'!$E$2:$G$294,3,),0)+IF('Biodiversity Assessment'!$J$103&gt;0,'Biodiversity Assessment'!$J$103*VLOOKUP('ESVD - Social Value of Bio'!T4&amp;"2",'ESVD - SUMMARY TABLE'!$E$2:$G$294,3,),0)+IF('Biodiversity Assessment'!$J$104&gt;0,'Biodiversity Assessment'!$J$104*VLOOKUP('ESVD - Social Value of Bio'!T4&amp;"3",'ESVD - SUMMARY TABLE'!$E$2:$G$294,3,),0)+IF('Biodiversity Assessment'!$J$105&gt;0,'Biodiversity Assessment'!$J$105*VLOOKUP('ESVD - Social Value of Bio'!T4&amp;"4",'ESVD - SUMMARY TABLE'!$E$2:$G$294,3,),0),IF(S4='ESVD - Land Use &amp; Climate Match'!$A$11,IF('Biodiversity Assessment'!$Z$102&gt;0,'Biodiversity Assessment'!$Z$102*VLOOKUP('ESVD - Social Value of Bio'!T4&amp;"1",'ESVD - SUMMARY TABLE'!$E$2:$G$294,3,FALSE),0)+IF('Biodiversity Assessment'!$Z$103&gt;0,'Biodiversity Assessment'!$Z$103*VLOOKUP('ESVD - Social Value of Bio'!T4&amp;"2",'ESVD - SUMMARY TABLE'!$E$2:$G$294,3,FALSE),0)+IF('Biodiversity Assessment'!$Z$104&gt;0,'Biodiversity Assessment'!$Z$104*VLOOKUP('ESVD - Social Value of Bio'!T4&amp;"3",'ESVD - SUMMARY TABLE'!$E$2:$G$294,3,FALSE),0)+IF('Biodiversity Assessment'!$Z$105&gt;0,'Biodiversity Assessment'!$Z$105*VLOOKUP('ESVD - Social Value of Bio'!T4&amp;"4",'ESVD - SUMMARY TABLE'!$E$2:$G$294,3,FALSE),0),IF(S4='ESVD - Land Use &amp; Climate Match'!$A$32,IF('Biodiversity Assessment'!$BD$102&gt;0,'Biodiversity Assessment'!$BD$102*VLOOKUP('ESVD - Social Value of Bio'!T4&amp;"1",'ESVD - SUMMARY TABLE'!$E$2:$G$294,3,FALSE),0)+IF('Biodiversity Assessment'!$BD$103&gt;0,'Biodiversity Assessment'!$BD$103*VLOOKUP('ESVD - Social Value of Bio'!T4&amp;"2",'ESVD - SUMMARY TABLE'!$E$2:$G$294,3,FALSE),0)+IF('Biodiversity Assessment'!$BD$104&gt;0,'Biodiversity Assessment'!$BD$104*VLOOKUP('ESVD - Social Value of Bio'!T4&amp;"3",'ESVD - SUMMARY TABLE'!$E$2:$G$294,3,FALSE),0)+IF('Biodiversity Assessment'!$BD$105&gt;0,'Biodiversity Assessment'!$BD$105*VLOOKUP('ESVD - Social Value of Bio'!T4&amp;"4",'ESVD - SUMMARY TABLE'!$E$2:$G$294,3,FALSE),0)+IF('Biodiversity Assessment'!$BD$106&gt;0,'Biodiversity Assessment'!$BD$106*VLOOKUP('ESVD - Social Value of Bio'!T4&amp;"5",'ESVD - SUMMARY TABLE'!$E$2:$G$294,3,FALSE),0),VLOOKUP('ESVD - Social Value of Bio'!T4&amp;"1",'ESVD - SUMMARY TABLE'!$E$2:$G$294,3,FALSE)))),0)</f>
        <v>0</v>
      </c>
      <c r="AA4" s="123">
        <f>IFERROR(IF(S4='ESVD - Land Use &amp; Climate Match'!$A$1,IF(SUM('Biodiversity Assessment'!$O$102:$P$105)=SUM('Biodiversity Assessment'!$J$102:$M$105),IF('Biodiversity Assessment'!$O$102&gt;0,'Biodiversity Assessment'!$O$102*VLOOKUP('ESVD - Social Value of Bio'!T4&amp;"1",'ESVD - SUMMARY TABLE'!$E$2:$G$294,3,),0)+IF('Biodiversity Assessment'!$O$103&gt;0,'Biodiversity Assessment'!$O$103*VLOOKUP('ESVD - Social Value of Bio'!T4&amp;"2",'ESVD - SUMMARY TABLE'!$E$2:$G$294,3,),0)+IF('Biodiversity Assessment'!$O$104&gt;0,'Biodiversity Assessment'!$O$104*VLOOKUP('ESVD - Social Value of Bio'!T4&amp;"3",'ESVD - SUMMARY TABLE'!$E$2:$G$294,3,),0)+IF('Biodiversity Assessment'!$O$105&gt;0,'Biodiversity Assessment'!$O$105*VLOOKUP('ESVD - Social Value of Bio'!T4&amp;"4",'ESVD - SUMMARY TABLE'!$E$2:$G$294,3,),0),0),IF(S4='ESVD - Land Use &amp; Climate Match'!$A$11,IF(SUM('Biodiversity Assessment'!$AH$102:$AN$105)=SUM('Biodiversity Assessment'!$Z$102:$AF$105),IF('Biodiversity Assessment'!$AH$102&gt;0,'Biodiversity Assessment'!$AH$102*VLOOKUP('ESVD - Social Value of Bio'!T4&amp;"1",'ESVD - SUMMARY TABLE'!$E$2:$G$294,3,FALSE),0)+IF('Biodiversity Assessment'!$AH$103&gt;0,'Biodiversity Assessment'!$AH$103*VLOOKUP('ESVD - Social Value of Bio'!T4&amp;"2",'ESVD - SUMMARY TABLE'!$E$2:$G$294,3,FALSE),0)+IF('Biodiversity Assessment'!$AH$104&gt;0,'Biodiversity Assessment'!$AH$104*VLOOKUP('ESVD - Social Value of Bio'!T4&amp;"3",'ESVD - SUMMARY TABLE'!$E$2:$G$294,3,FALSE),0)+IF('Biodiversity Assessment'!$AH$105&gt;0,'Biodiversity Assessment'!$AH$105*VLOOKUP('ESVD - Social Value of Bio'!T4&amp;"4",'ESVD - SUMMARY TABLE'!$E$2:$G$294,3,FALSE),0),0),IF(S4='ESVD - Land Use &amp; Climate Match'!$A$32,IF(SUM('Biodiversity Assessment'!$BF$102:$BF$106)=SUM('Biodiversity Assessment'!$BD$102:$BD$106),IF('Biodiversity Assessment'!$BF$102&gt;0,'Biodiversity Assessment'!$BF$102*VLOOKUP('ESVD - Social Value of Bio'!T4&amp;"1",'ESVD - SUMMARY TABLE'!$E$2:$G$294,3,FALSE),0)+IF('Biodiversity Assessment'!$BF$103&gt;0,'Biodiversity Assessment'!$BF$103*VLOOKUP('ESVD - Social Value of Bio'!T4&amp;"2",'ESVD - SUMMARY TABLE'!$E$2:$G$294,3,FALSE),0)+IF('Biodiversity Assessment'!$BF$104&gt;0,'Biodiversity Assessment'!$BF$104*VLOOKUP('ESVD - Social Value of Bio'!T4&amp;"3",'ESVD - SUMMARY TABLE'!$E$2:$G$294,3,FALSE),0)+IF('Biodiversity Assessment'!$BF$105&gt;0,'Biodiversity Assessment'!$BF$105*VLOOKUP('ESVD - Social Value of Bio'!T4&amp;"4",'ESVD - SUMMARY TABLE'!$E$2:$G$294,3,FALSE),0)+IF('Biodiversity Assessment'!$BF$106&gt;0,'Biodiversity Assessment'!$BF$106*VLOOKUP('ESVD - Social Value of Bio'!T4&amp;"5",'ESVD - SUMMARY TABLE'!$E$2:$G$294,3,FALSE),0),0),VLOOKUP('ESVD - Social Value of Bio'!T4&amp;"1",'ESVD - SUMMARY TABLE'!$E$2:$G$294,3,FALSE)))),0)</f>
        <v>0</v>
      </c>
      <c r="AB4" s="123">
        <f>'Biodiversity Assessment'!CX19</f>
        <v>0</v>
      </c>
      <c r="AC4" s="124">
        <f>IFERROR(IF(AB4&gt;0,AB4*'Biodiversity Assessment'!U19,IF(AA4&gt;0,AA4*'Biodiversity Assessment'!U19,Z4*'Biodiversity Assessment'!U19)),0)</f>
        <v>0</v>
      </c>
      <c r="AD4" s="456"/>
      <c r="AG4" s="453"/>
    </row>
    <row r="5" spans="1:33" s="110" customFormat="1" ht="10.5" x14ac:dyDescent="0.25">
      <c r="A5" s="107" t="s">
        <v>210</v>
      </c>
      <c r="B5" s="108" t="str">
        <f>IF(Start!$D$28&gt;1000,CONCATENATE(Start!$D$20," Mountain"),Start!$D$20)</f>
        <v>Please select</v>
      </c>
      <c r="C5" s="108" t="str">
        <f>Start!$D$24</f>
        <v>Please select</v>
      </c>
      <c r="D5" s="109" t="str">
        <f>'Biodiversity Assessment'!G20</f>
        <v>Select land use</v>
      </c>
      <c r="E5" s="109" t="str">
        <f>IF(OR(D5=Data!$E$4,D5=Data!$E$5,D5=Data!$E$6,D5=Data!$E$7),Data!$E$4,IF(OR(D5=Data!$E$9,D5=Data!$E$10,D5=Data!$E$11),Data!$E$9,IF(OR(D5=Data!$E$12,D5=Data!$E$13,D5=Data!$E$14),"Cropland",IF(OR(D5=Data!$E$16,D5=Data!$E$17),"Agroforestry",D5))))</f>
        <v>Select land use</v>
      </c>
      <c r="F5" s="109" t="str">
        <f t="shared" si="0"/>
        <v>Please selectPlease selectSelect land use</v>
      </c>
      <c r="G5" s="122">
        <f>IFERROR(IF(E5='ESVD - Land Use &amp; Climate Match'!$A$1,IF('Biodiversity Assessment'!$J$102&gt;0,'Biodiversity Assessment'!$J$102*VLOOKUP('ESVD - Social Value of Bio'!F5&amp;"1",'ESVD - SUMMARY TABLE'!$E$2:$G$294,3,),0)+IF('Biodiversity Assessment'!$J$103&gt;0,'Biodiversity Assessment'!$J$103*VLOOKUP('ESVD - Social Value of Bio'!F5&amp;"2",'ESVD - SUMMARY TABLE'!$E$2:$G$294,3,),0)+IF('Biodiversity Assessment'!$J$104&gt;0,'Biodiversity Assessment'!$J$104*VLOOKUP('ESVD - Social Value of Bio'!F5&amp;"3",'ESVD - SUMMARY TABLE'!$E$2:$G$294,3,),0)+IF('Biodiversity Assessment'!$J$105&gt;0,'Biodiversity Assessment'!$J$105*VLOOKUP('ESVD - Social Value of Bio'!F5&amp;"4",'ESVD - SUMMARY TABLE'!$E$2:$G$294,3,),0),IF(E5='ESVD - Land Use &amp; Climate Match'!$A$11,IF('Biodiversity Assessment'!$Z$102&gt;0,'Biodiversity Assessment'!$Z$102*VLOOKUP('ESVD - Social Value of Bio'!F5&amp;"1",'ESVD - SUMMARY TABLE'!$E$2:$G$294,3,FALSE),0)+IF('Biodiversity Assessment'!$Z$103&gt;0,'Biodiversity Assessment'!$Z$103*VLOOKUP('ESVD - Social Value of Bio'!F5&amp;"2",'ESVD - SUMMARY TABLE'!$E$2:$G$294,3,FALSE),0)+IF('Biodiversity Assessment'!$Z$104&gt;0,'Biodiversity Assessment'!$Z$104*VLOOKUP('ESVD - Social Value of Bio'!F5&amp;"3",'ESVD - SUMMARY TABLE'!$E$2:$G$294,3,FALSE),0)+IF('Biodiversity Assessment'!$Z$105&gt;0,'Biodiversity Assessment'!$Z$105*VLOOKUP('ESVD - Social Value of Bio'!F5&amp;"4",'ESVD - SUMMARY TABLE'!$E$2:$G$294,3,FALSE),0),IF(E5='ESVD - Land Use &amp; Climate Match'!$A$32,IF('Biodiversity Assessment'!$BD$102&gt;0,'Biodiversity Assessment'!$BD$102*VLOOKUP('ESVD - Social Value of Bio'!F5&amp;"1",'ESVD - SUMMARY TABLE'!$E$2:$G$294,3,FALSE),0)+IF('Biodiversity Assessment'!$BD$103&gt;0,'Biodiversity Assessment'!$BD$103*VLOOKUP('ESVD - Social Value of Bio'!F5&amp;"2",'ESVD - SUMMARY TABLE'!$E$2:$G$294,3,FALSE),0)+IF('Biodiversity Assessment'!$BD$104&gt;0,'Biodiversity Assessment'!$BD$104*VLOOKUP('ESVD - Social Value of Bio'!F5&amp;"3",'ESVD - SUMMARY TABLE'!$E$2:$G$294,3,FALSE),0)+IF('Biodiversity Assessment'!$BD$105&gt;0,'Biodiversity Assessment'!$BD$105*VLOOKUP('ESVD - Social Value of Bio'!F5&amp;"4",'ESVD - SUMMARY TABLE'!$E$2:$G$294,3,FALSE),0)+IF('Biodiversity Assessment'!$BD$106&gt;0,'Biodiversity Assessment'!$BD$106*VLOOKUP('ESVD - Social Value of Bio'!F5&amp;"5",'ESVD - SUMMARY TABLE'!$E$2:$G$294,3,FALSE),0),AVERAGE(IF('Biodiversity Assessment'!$J$102&gt;0,'Biodiversity Assessment'!$J$102*VLOOKUP(CONCATENATE($B5,$C5,'ESVD - Land Use &amp; Climate Match'!$A$1)&amp;"1",'ESVD - SUMMARY TABLE'!$E$2:$G$294,3,),0)+IF('Biodiversity Assessment'!$J$103&gt;0,'Biodiversity Assessment'!$J$103*VLOOKUP(CONCATENATE($B5,$C5,'ESVD - Land Use &amp; Climate Match'!$A$1)&amp;"2",'ESVD - SUMMARY TABLE'!$E$2:$G$294,3,),0)+IF('Biodiversity Assessment'!$J$104&gt;0,'Biodiversity Assessment'!$J$104*VLOOKUP(CONCATENATE($B5,$C5,'ESVD - Land Use &amp; Climate Match'!$A$1)&amp;"3",'ESVD - SUMMARY TABLE'!$E$2:$G$294,3,),0)+IF('Biodiversity Assessment'!$J$105&gt;0,'Biodiversity Assessment'!$J$105*VLOOKUP(CONCATENATE($B5,$C5,'ESVD - Land Use &amp; Climate Match'!$A$1)&amp;"4",'ESVD - SUMMARY TABLE'!$E$2:$G$294,3,),0),IF('Biodiversity Assessment'!$Z$102&gt;0,'Biodiversity Assessment'!$Z$102*VLOOKUP(CONCATENATE($B5,$C5,'ESVD - Land Use &amp; Climate Match'!$A$11)&amp;"1",'ESVD - SUMMARY TABLE'!$E$2:$G$294,3,FALSE),0)+IF('Biodiversity Assessment'!$Z$103&gt;0,'Biodiversity Assessment'!$Z$103*VLOOKUP(CONCATENATE($B5,$C5,'ESVD - Land Use &amp; Climate Match'!$A$11)&amp;"2",'ESVD - SUMMARY TABLE'!$E$2:$G$294,3,FALSE),0)+IF('Biodiversity Assessment'!$Z$104&gt;0,'Biodiversity Assessment'!$Z$104*VLOOKUP(CONCATENATE($B5,$C5,'ESVD - Land Use &amp; Climate Match'!$A$11)&amp;"3",'ESVD - SUMMARY TABLE'!$E$2:$G$294,3,FALSE),0)+IF('Biodiversity Assessment'!$Z$105&gt;0,'Biodiversity Assessment'!$Z$105*VLOOKUP(CONCATENATE($B5,$C5,'ESVD - Land Use &amp; Climate Match'!$A$11)&amp;"4",'ESVD - SUMMARY TABLE'!$E$2:$G$294,3,FALSE),0),IF('Biodiversity Assessment'!$BD$102&gt;0,'Biodiversity Assessment'!$BD$102*VLOOKUP(CONCATENATE($B5,$C5,'ESVD - Land Use &amp; Climate Match'!$A$32)&amp;"1",'ESVD - SUMMARY TABLE'!$E$2:$G$294,3,FALSE),0)+IF('Biodiversity Assessment'!$BD$103&gt;0,'Biodiversity Assessment'!$BD$103*VLOOKUP(CONCATENATE($B5,$C5,'ESVD - Land Use &amp; Climate Match'!$A$32)&amp;"2",'ESVD - SUMMARY TABLE'!$E$2:$G$294,3,FALSE),0)+IF('Biodiversity Assessment'!$BD$104&gt;0,'Biodiversity Assessment'!$BD$104*VLOOKUP(CONCATENATE($B5,$C5,'ESVD - Land Use &amp; Climate Match'!$A$32)&amp;"3",'ESVD - SUMMARY TABLE'!$E$2:$G$294,3,FALSE),0)+IF('Biodiversity Assessment'!$BD$105&gt;0,'Biodiversity Assessment'!$BD$105*VLOOKUP(CONCATENATE($B5,$C5,'ESVD - Land Use &amp; Climate Match'!$A$32)&amp;"4",'ESVD - SUMMARY TABLE'!$E$2:$G$294,3,FALSE),0)+IF('Biodiversity Assessment'!$BD$106&gt;0,'Biodiversity Assessment'!$BD$106*VLOOKUP(CONCATENATE($B5,$C5,'ESVD - Land Use &amp; Climate Match'!$A$32)&amp;"5",'ESVD - SUMMARY TABLE'!$E$2:$G$294,3,FALSE)))))),0)</f>
        <v>0</v>
      </c>
      <c r="H5" s="122">
        <f>IFERROR(IF(E5='ESVD - Land Use &amp; Climate Match'!$A$1,IF(SUM('Biodiversity Assessment'!$O$102:$P$105)=SUM('Biodiversity Assessment'!$J$102:$M$105),IF('Biodiversity Assessment'!$O$102&gt;0,'Biodiversity Assessment'!$O$102*VLOOKUP('ESVD - Social Value of Bio'!F5&amp;"1",'ESVD - SUMMARY TABLE'!$E$2:$G$294,3,),0)+IF('Biodiversity Assessment'!$O$103&gt;0,'Biodiversity Assessment'!$O$103*VLOOKUP('ESVD - Social Value of Bio'!F5&amp;"2",'ESVD - SUMMARY TABLE'!$E$2:$G$294,3,),0)+IF('Biodiversity Assessment'!$O$104&gt;0,'Biodiversity Assessment'!$O$104*VLOOKUP('ESVD - Social Value of Bio'!F5&amp;"3",'ESVD - SUMMARY TABLE'!$E$2:$G$294,3,),0)+IF('Biodiversity Assessment'!$O$105&gt;0,'Biodiversity Assessment'!$O$105*VLOOKUP('ESVD - Social Value of Bio'!F5&amp;"4",'ESVD - SUMMARY TABLE'!$E$2:$G$294,3,),0),0),IF(E5='ESVD - Land Use &amp; Climate Match'!$A$11,IF(SUM('Biodiversity Assessment'!$AH$102:$AN$105)=SUM('Biodiversity Assessment'!$Z$102:$AF$105),IF('Biodiversity Assessment'!$AH$102&gt;0,'Biodiversity Assessment'!$AH$102*VLOOKUP('ESVD - Social Value of Bio'!F5&amp;"1",'ESVD - SUMMARY TABLE'!$E$2:$G$294,3,FALSE),0)+IF('Biodiversity Assessment'!$AH$103&gt;0,'Biodiversity Assessment'!$AH$103*VLOOKUP('ESVD - Social Value of Bio'!F5&amp;"2",'ESVD - SUMMARY TABLE'!$E$2:$G$294,3,FALSE),0)+IF('Biodiversity Assessment'!$AH$104&gt;0,'Biodiversity Assessment'!$AH$104*VLOOKUP('ESVD - Social Value of Bio'!F5&amp;"3",'ESVD - SUMMARY TABLE'!$E$2:$G$294,3,FALSE),0)+IF('Biodiversity Assessment'!$AH$105&gt;0,'Biodiversity Assessment'!$AH$105*VLOOKUP('ESVD - Social Value of Bio'!F5&amp;"4",'ESVD - SUMMARY TABLE'!$E$2:$G$294,3,FALSE),0),0),IF(E5='ESVD - Land Use &amp; Climate Match'!$A$32,IF(SUM('Biodiversity Assessment'!$BF$102:$BF$106)=SUM('Biodiversity Assessment'!$BD$102:$BD$106),IF('Biodiversity Assessment'!$BF$102&gt;0,'Biodiversity Assessment'!$BF$102*VLOOKUP('ESVD - Social Value of Bio'!F5&amp;"1",'ESVD - SUMMARY TABLE'!$E$2:$G$294,3,FALSE),0)+IF('Biodiversity Assessment'!$BF$103&gt;0,'Biodiversity Assessment'!$BF$103*VLOOKUP('ESVD - Social Value of Bio'!F5&amp;"2",'ESVD - SUMMARY TABLE'!$E$2:$G$294,3,FALSE),0)+IF('Biodiversity Assessment'!$BF$104&gt;0,'Biodiversity Assessment'!$BF$104*VLOOKUP('ESVD - Social Value of Bio'!F5&amp;"3",'ESVD - SUMMARY TABLE'!$E$2:$G$294,3,FALSE),0)+IF('Biodiversity Assessment'!$BF$105&gt;0,'Biodiversity Assessment'!$BF$105*VLOOKUP('ESVD - Social Value of Bio'!F5&amp;"4",'ESVD - SUMMARY TABLE'!$E$2:$G$294,3,FALSE),0)+IF('Biodiversity Assessment'!$BF$106&gt;0,'Biodiversity Assessment'!$BF$106*VLOOKUP('ESVD - Social Value of Bio'!F5&amp;"5",'ESVD - SUMMARY TABLE'!$E$2:$G$294,3,FALSE),0),0),AVERAGE(IF(SUM('Biodiversity Assessment'!$O$102:$P$105)=SUM('Biodiversity Assessment'!$J$102:$M$105),IF('Biodiversity Assessment'!$O$102&gt;0,'Biodiversity Assessment'!$O$102*VLOOKUP(CONCATENATE($B5,$C5,'ESVD - Land Use &amp; Climate Match'!$A$1)&amp;"1",'ESVD - SUMMARY TABLE'!$E$2:$G$294,3,),0)+IF('Biodiversity Assessment'!$O$103&gt;0,'Biodiversity Assessment'!$O$103*VLOOKUP(CONCATENATE($B5,$C5,'ESVD - Land Use &amp; Climate Match'!$A$1)&amp;"2",'ESVD - SUMMARY TABLE'!$E$2:$G$294,3,),0)+IF('Biodiversity Assessment'!$O$104&gt;0,'Biodiversity Assessment'!$O$104*VLOOKUP(CONCATENATE($B5,$C5,'ESVD - Land Use &amp; Climate Match'!$A$1)&amp;"3",'ESVD - SUMMARY TABLE'!$E$2:$G$294,3,),0)+IF('Biodiversity Assessment'!$O$105&gt;0,'Biodiversity Assessment'!$O$105*VLOOKUP(CONCATENATE($B5,$C5,'ESVD - Land Use &amp; Climate Match'!$A$1)&amp;"4",'ESVD - SUMMARY TABLE'!$E$2:$G$294,3,),0),0),IF(SUM('Biodiversity Assessment'!$AH$102:$AN$105)=SUM('Biodiversity Assessment'!$Z$102:$AF$105),IF('Biodiversity Assessment'!$AH$102&gt;0,'Biodiversity Assessment'!$AH$102*VLOOKUP(CONCATENATE($B5,$C5,'ESVD - Land Use &amp; Climate Match'!$A$11)&amp;"1",'ESVD - SUMMARY TABLE'!$E$2:$G$294,3,FALSE),0)+IF('Biodiversity Assessment'!$AH$103&gt;0,'Biodiversity Assessment'!$AH$103*VLOOKUP(CONCATENATE($B5,$C5,'ESVD - Land Use &amp; Climate Match'!$A$11)&amp;"2",'ESVD - SUMMARY TABLE'!$E$2:$G$294,3,FALSE),0)+IF('Biodiversity Assessment'!$AH$104&gt;0,'Biodiversity Assessment'!$AH$104*VLOOKUP(CONCATENATE($B5,$C5,'ESVD - Land Use &amp; Climate Match'!$A$11)&amp;"3",'ESVD - SUMMARY TABLE'!$E$2:$G$294,3,FALSE),0)+IF('Biodiversity Assessment'!$AH$105&gt;0,'Biodiversity Assessment'!$AH$105*VLOOKUP(CONCATENATE($B5,$C5,'ESVD - Land Use &amp; Climate Match'!$A$11)&amp;"4",'ESVD - SUMMARY TABLE'!$E$2:$G$294,3,FALSE),0),0),IF(SUM('Biodiversity Assessment'!$BF$102:$BF$106)=SUM('Biodiversity Assessment'!$BD$102:$BD$106),IF('Biodiversity Assessment'!$BF$102&gt;0,'Biodiversity Assessment'!$BF$102*VLOOKUP(CONCATENATE($B5,$C5,'ESVD - Land Use &amp; Climate Match'!$A$32)&amp;"1",'ESVD - SUMMARY TABLE'!$E$2:$G$294,3,FALSE),0)+IF('Biodiversity Assessment'!$BF$103&gt;0,'Biodiversity Assessment'!$BF$103*VLOOKUP(CONCATENATE($B5,$C5,'ESVD - Land Use &amp; Climate Match'!$A$32)&amp;"2",'ESVD - SUMMARY TABLE'!$E$2:$G$294,3,FALSE),0)+IF('Biodiversity Assessment'!$BF$104&gt;0,'Biodiversity Assessment'!$BF$104*VLOOKUP(CONCATENATE($B5,$C5,'ESVD - Land Use &amp; Climate Match'!$A$32)&amp;"3",'ESVD - SUMMARY TABLE'!$E$2:$G$294,3,FALSE),0)+IF('Biodiversity Assessment'!$BF$105&gt;0,'Biodiversity Assessment'!$BF$105*VLOOKUP(CONCATENATE($B5,$C5,'ESVD - Land Use &amp; Climate Match'!$A$32)&amp;"4",'ESVD - SUMMARY TABLE'!$E$2:$G$294,3,FALSE),0)+IF('Biodiversity Assessment'!$BF$106&gt;0,'Biodiversity Assessment'!$BF$106*VLOOKUP(CONCATENATE($B5,$C5,'ESVD - Land Use &amp; Climate Match'!$A$32)&amp;"5",'ESVD - SUMMARY TABLE'!$E$2:$G$294,3,FALSE),0),0))))),0)</f>
        <v>0</v>
      </c>
      <c r="I5" s="122">
        <f>'Biodiversity Assessment'!CR20</f>
        <v>0</v>
      </c>
      <c r="J5" s="122">
        <f>IFERROR(IF(I5&gt;0,I5*'Biodiversity Assessment'!$M20,IF(H5&gt;0,H5*'Biodiversity Assessment'!$M20,G5*'Biodiversity Assessment'!$M20)),0)</f>
        <v>0</v>
      </c>
      <c r="K5" s="454"/>
      <c r="L5" s="123">
        <f>IFERROR(IF(E5='ESVD - Land Use &amp; Climate Match'!$A$1,IF('Biodiversity Assessment'!$J$102&gt;0,'Biodiversity Assessment'!$J$102*VLOOKUP('ESVD - Social Value of Bio'!F5&amp;"1",'ESVD - SUMMARY TABLE'!$E$2:$G$294,3,),0)+IF('Biodiversity Assessment'!$J$103&gt;0,'Biodiversity Assessment'!$J$103*VLOOKUP('ESVD - Social Value of Bio'!F5&amp;"2",'ESVD - SUMMARY TABLE'!$E$2:$G$294,3,),0)+IF('Biodiversity Assessment'!$J$104&gt;0,'Biodiversity Assessment'!$J$104*VLOOKUP('ESVD - Social Value of Bio'!F5&amp;"3",'ESVD - SUMMARY TABLE'!$E$2:$G$294,3,),0)+IF('Biodiversity Assessment'!$J$105&gt;0,'Biodiversity Assessment'!$J$105*VLOOKUP('ESVD - Social Value of Bio'!F5&amp;"4",'ESVD - SUMMARY TABLE'!$E$2:$G$294,3,),0),IF(E5='ESVD - Land Use &amp; Climate Match'!$A$11,IF('Biodiversity Assessment'!$Z$102&gt;0,'Biodiversity Assessment'!$Z$102*VLOOKUP('ESVD - Social Value of Bio'!F5&amp;"1",'ESVD - SUMMARY TABLE'!$E$2:$G$294,3,FALSE),0)+IF('Biodiversity Assessment'!$Z$103&gt;0,'Biodiversity Assessment'!$Z$103*VLOOKUP('ESVD - Social Value of Bio'!F5&amp;"2",'ESVD - SUMMARY TABLE'!$E$2:$G$294,3,FALSE),0)+IF('Biodiversity Assessment'!$Z$104&gt;0,'Biodiversity Assessment'!$Z$104*VLOOKUP('ESVD - Social Value of Bio'!F5&amp;"3",'ESVD - SUMMARY TABLE'!$E$2:$G$294,3,FALSE),0)+IF('Biodiversity Assessment'!$Z$105&gt;0,'Biodiversity Assessment'!$Z$105*VLOOKUP('ESVD - Social Value of Bio'!F5&amp;"4",'ESVD - SUMMARY TABLE'!$E$2:$G$294,3,FALSE),0),IF(E5='ESVD - Land Use &amp; Climate Match'!$A$32,IF('Biodiversity Assessment'!$BD$102&gt;0,'Biodiversity Assessment'!$BD$102*VLOOKUP('ESVD - Social Value of Bio'!F5&amp;"1",'ESVD - SUMMARY TABLE'!$E$2:$G$294,3,FALSE),0)+IF('Biodiversity Assessment'!$BD$103&gt;0,'Biodiversity Assessment'!$BD$103*VLOOKUP('ESVD - Social Value of Bio'!F5&amp;"2",'ESVD - SUMMARY TABLE'!$E$2:$G$294,3,FALSE),0)+IF('Biodiversity Assessment'!$BD$104&gt;0,'Biodiversity Assessment'!$BD$104*VLOOKUP('ESVD - Social Value of Bio'!F5&amp;"3",'ESVD - SUMMARY TABLE'!$E$2:$G$294,3,FALSE),0)+IF('Biodiversity Assessment'!$BD$105&gt;0,'Biodiversity Assessment'!$BD$105*VLOOKUP('ESVD - Social Value of Bio'!F5&amp;"4",'ESVD - SUMMARY TABLE'!$E$2:$G$294,3,FALSE),0)+IF('Biodiversity Assessment'!$BD$106&gt;0,'Biodiversity Assessment'!$BD$106*VLOOKUP('ESVD - Social Value of Bio'!F5&amp;"5",'ESVD - SUMMARY TABLE'!$E$2:$G$294,3,FALSE),0),VLOOKUP('ESVD - Social Value of Bio'!F5&amp;"1",'ESVD - SUMMARY TABLE'!$E$2:$G$294,3,FALSE)))),0)</f>
        <v>0</v>
      </c>
      <c r="M5" s="123">
        <f>IFERROR(IF(E5='ESVD - Land Use &amp; Climate Match'!$A$1,IF(SUM('Biodiversity Assessment'!$O$102:$P$105)=SUM('Biodiversity Assessment'!$J$102:$M$105),IF('Biodiversity Assessment'!$O$102&gt;0,'Biodiversity Assessment'!$O$102*VLOOKUP('ESVD - Social Value of Bio'!F5&amp;"1",'ESVD - SUMMARY TABLE'!$E$2:$G$294,3,),0)+IF('Biodiversity Assessment'!$O$103&gt;0,'Biodiversity Assessment'!$O$103*VLOOKUP('ESVD - Social Value of Bio'!F5&amp;"2",'ESVD - SUMMARY TABLE'!$E$2:$G$294,3,),0)+IF('Biodiversity Assessment'!$O$104&gt;0,'Biodiversity Assessment'!$O$104*VLOOKUP('ESVD - Social Value of Bio'!F5&amp;"3",'ESVD - SUMMARY TABLE'!$E$2:$G$294,3,),0)+IF('Biodiversity Assessment'!$O$105&gt;0,'Biodiversity Assessment'!$O$105*VLOOKUP('ESVD - Social Value of Bio'!F5&amp;"4",'ESVD - SUMMARY TABLE'!$E$2:$G$294,3,),0),0),IF(E5='ESVD - Land Use &amp; Climate Match'!$A$11,IF(SUM('Biodiversity Assessment'!$AH$102:$AN$105)=SUM('Biodiversity Assessment'!$Z$102:$AF$105),IF('Biodiversity Assessment'!$AH$102&gt;0,'Biodiversity Assessment'!$AH$102*VLOOKUP('ESVD - Social Value of Bio'!F5&amp;"1",'ESVD - SUMMARY TABLE'!$E$2:$G$294,3,FALSE),0)+IF('Biodiversity Assessment'!$AH$103&gt;0,'Biodiversity Assessment'!$AH$103*VLOOKUP('ESVD - Social Value of Bio'!F5&amp;"2",'ESVD - SUMMARY TABLE'!$E$2:$G$294,3,FALSE),0)+IF('Biodiversity Assessment'!$AH$104&gt;0,'Biodiversity Assessment'!$AH$104*VLOOKUP('ESVD - Social Value of Bio'!F5&amp;"3",'ESVD - SUMMARY TABLE'!$E$2:$G$294,3,FALSE),0)+IF('Biodiversity Assessment'!$AH$105&gt;0,'Biodiversity Assessment'!$AH$105*VLOOKUP('ESVD - Social Value of Bio'!F5&amp;"4",'ESVD - SUMMARY TABLE'!$E$2:$G$294,3,FALSE),0),0),IF(E5='ESVD - Land Use &amp; Climate Match'!$A$32,IF(SUM('Biodiversity Assessment'!$BF$102:$BF$106)=SUM('Biodiversity Assessment'!$BD$102:$BD$106),IF('Biodiversity Assessment'!$BF$102&gt;0,'Biodiversity Assessment'!$BF$102*VLOOKUP('ESVD - Social Value of Bio'!F5&amp;"1",'ESVD - SUMMARY TABLE'!$E$2:$G$294,3,FALSE),0)+IF('Biodiversity Assessment'!$BF$103&gt;0,'Biodiversity Assessment'!$BF$103*VLOOKUP('ESVD - Social Value of Bio'!F5&amp;"2",'ESVD - SUMMARY TABLE'!$E$2:$G$294,3,FALSE),0)+IF('Biodiversity Assessment'!$BF$104&gt;0,'Biodiversity Assessment'!$BF$104*VLOOKUP('ESVD - Social Value of Bio'!F5&amp;"3",'ESVD - SUMMARY TABLE'!$E$2:$G$294,3,FALSE),0)+IF('Biodiversity Assessment'!$BF$105&gt;0,'Biodiversity Assessment'!$BF$105*VLOOKUP('ESVD - Social Value of Bio'!F5&amp;"4",'ESVD - SUMMARY TABLE'!$E$2:$G$294,3,FALSE),0)+IF('Biodiversity Assessment'!$BF$106&gt;0,'Biodiversity Assessment'!$BF$106*VLOOKUP('ESVD - Social Value of Bio'!F5&amp;"5",'ESVD - SUMMARY TABLE'!$E$2:$G$294,3,FALSE),0),0),VLOOKUP('ESVD - Social Value of Bio'!F5&amp;"1",'ESVD - SUMMARY TABLE'!$E$2:$G$294,3,FALSE)))),0)</f>
        <v>0</v>
      </c>
      <c r="N5" s="123">
        <f>'Biodiversity Assessment'!CR20</f>
        <v>0</v>
      </c>
      <c r="O5" s="124">
        <f>IFERROR(IF(N5&gt;0,N5*'Biodiversity Assessment'!M20,IF(M5&gt;0,M5*'Biodiversity Assessment'!M20,L5*'Biodiversity Assessment'!M20)),0)</f>
        <v>0</v>
      </c>
      <c r="P5" s="456"/>
      <c r="R5" s="108" t="str">
        <f>'Biodiversity Assessment'!O20</f>
        <v>Select land use</v>
      </c>
      <c r="S5" s="109" t="str">
        <f>IF(OR(R5=Data!$E$4,R5=Data!$E$5,R5=Data!$E$6,R5=Data!$E$7),Data!$E$4,IF(OR(R5=Data!$E$9,R5=Data!$E$10,R5=Data!$E$11),Data!$E$9,IF(OR(R5=Data!$E$12,R5=Data!$E$13,R5=Data!$E$14),"Cropland",IF(OR(R5=Data!$E$16,R5=Data!$E$17),"Agroforestry",R5))))</f>
        <v>Select land use</v>
      </c>
      <c r="T5" s="109" t="str">
        <f t="shared" si="1"/>
        <v>Please selectPlease selectSelect land use</v>
      </c>
      <c r="U5" s="122">
        <f>IFERROR(IF(S5='ESVD - Land Use &amp; Climate Match'!$A$1,IF('Biodiversity Assessment'!$J$102&gt;0,'Biodiversity Assessment'!$J$102*VLOOKUP('ESVD - Social Value of Bio'!T5&amp;"1",'ESVD - SUMMARY TABLE'!$E$2:$G$294,3,),0)+IF('Biodiversity Assessment'!$J$103&gt;0,'Biodiversity Assessment'!$J$103*VLOOKUP('ESVD - Social Value of Bio'!T5&amp;"2",'ESVD - SUMMARY TABLE'!$E$2:$G$294,3,),0)+IF('Biodiversity Assessment'!$J$104&gt;0,'Biodiversity Assessment'!$J$104*VLOOKUP('ESVD - Social Value of Bio'!T5&amp;"3",'ESVD - SUMMARY TABLE'!$E$2:$G$294,3,),0)+IF('Biodiversity Assessment'!$J$105&gt;0,'Biodiversity Assessment'!$J$105*VLOOKUP('ESVD - Social Value of Bio'!T5&amp;"4",'ESVD - SUMMARY TABLE'!$E$2:$G$294,3,),0),IF(S5='ESVD - Land Use &amp; Climate Match'!$A$11,IF('Biodiversity Assessment'!$Z$102&gt;0,'Biodiversity Assessment'!$Z$102*VLOOKUP('ESVD - Social Value of Bio'!T5&amp;"1",'ESVD - SUMMARY TABLE'!$E$2:$G$294,3,FALSE),0)+IF('Biodiversity Assessment'!$Z$103&gt;0,'Biodiversity Assessment'!$Z$103*VLOOKUP('ESVD - Social Value of Bio'!T5&amp;"2",'ESVD - SUMMARY TABLE'!$E$2:$G$294,3,FALSE),0)+IF('Biodiversity Assessment'!$Z$104&gt;0,'Biodiversity Assessment'!$Z$104*VLOOKUP('ESVD - Social Value of Bio'!T5&amp;"3",'ESVD - SUMMARY TABLE'!$E$2:$G$294,3,FALSE),0)+IF('Biodiversity Assessment'!$Z$105&gt;0,'Biodiversity Assessment'!$Z$105*VLOOKUP('ESVD - Social Value of Bio'!T5&amp;"4",'ESVD - SUMMARY TABLE'!$E$2:$G$294,3,FALSE),0),IF(S5='ESVD - Land Use &amp; Climate Match'!$A$32,IF('Biodiversity Assessment'!$BD$102&gt;0,'Biodiversity Assessment'!$BD$102*VLOOKUP('ESVD - Social Value of Bio'!T5&amp;"1",'ESVD - SUMMARY TABLE'!$E$2:$G$294,3,FALSE),0)+IF('Biodiversity Assessment'!$BD$103&gt;0,'Biodiversity Assessment'!$BD$103*VLOOKUP('ESVD - Social Value of Bio'!T5&amp;"2",'ESVD - SUMMARY TABLE'!$E$2:$G$294,3,FALSE),0)+IF('Biodiversity Assessment'!$BD$104&gt;0,'Biodiversity Assessment'!$BD$104*VLOOKUP('ESVD - Social Value of Bio'!T5&amp;"3",'ESVD - SUMMARY TABLE'!$E$2:$G$294,3,FALSE),0)+IF('Biodiversity Assessment'!$BD$105&gt;0,'Biodiversity Assessment'!$BD$105*VLOOKUP('ESVD - Social Value of Bio'!T5&amp;"4",'ESVD - SUMMARY TABLE'!$E$2:$G$294,3,FALSE),0)+IF('Biodiversity Assessment'!$BD$106&gt;0,'Biodiversity Assessment'!$BD$106*VLOOKUP('ESVD - Social Value of Bio'!T5&amp;"5",'ESVD - SUMMARY TABLE'!$E$2:$G$294,3,FALSE),0),AVERAGE(IF('Biodiversity Assessment'!$J$102&gt;0,'Biodiversity Assessment'!$J$102*VLOOKUP(CONCATENATE(B5,C5,'ESVD - Land Use &amp; Climate Match'!$A$1)&amp;"1",'ESVD - SUMMARY TABLE'!$E$2:$G$294,3,),0)+IF('Biodiversity Assessment'!$J$103&gt;0,'Biodiversity Assessment'!$J$103*VLOOKUP(CONCATENATE(B5,C5,'ESVD - Land Use &amp; Climate Match'!$A$1)&amp;"2",'ESVD - SUMMARY TABLE'!$E$2:$G$294,3,),0)+IF('Biodiversity Assessment'!$J$104&gt;0,'Biodiversity Assessment'!$J$104*VLOOKUP(CONCATENATE(B5,C5,'ESVD - Land Use &amp; Climate Match'!$A$1)&amp;"3",'ESVD - SUMMARY TABLE'!$E$2:$G$294,3,),0)+IF('Biodiversity Assessment'!$J$105&gt;0,'Biodiversity Assessment'!$J$105*VLOOKUP(CONCATENATE(B5,C5,'ESVD - Land Use &amp; Climate Match'!$A$1)&amp;"4",'ESVD - SUMMARY TABLE'!$E$2:$G$294,3,),0),IF('Biodiversity Assessment'!$Z$102&gt;0,'Biodiversity Assessment'!$Z$102*VLOOKUP(CONCATENATE(B5,C5,'ESVD - Land Use &amp; Climate Match'!$A$11)&amp;"1",'ESVD - SUMMARY TABLE'!$E$2:$G$294,3,FALSE),0)+IF('Biodiversity Assessment'!$Z$103&gt;0,'Biodiversity Assessment'!$Z$103*VLOOKUP(CONCATENATE(B5,C5,'ESVD - Land Use &amp; Climate Match'!$A$11)&amp;"2",'ESVD - SUMMARY TABLE'!$E$2:$G$294,3,FALSE),0)+IF('Biodiversity Assessment'!$Z$104&gt;0,'Biodiversity Assessment'!$Z$104*VLOOKUP(CONCATENATE(B5,C5,'ESVD - Land Use &amp; Climate Match'!$A$11)&amp;"3",'ESVD - SUMMARY TABLE'!$E$2:$G$294,3,FALSE),0)+IF('Biodiversity Assessment'!$Z$105&gt;0,'Biodiversity Assessment'!$Z$105*VLOOKUP(CONCATENATE(B5,C5,'ESVD - Land Use &amp; Climate Match'!$A$11)&amp;"4",'ESVD - SUMMARY TABLE'!$E$2:$G$294,3,FALSE),0),IF('Biodiversity Assessment'!$BD$102&gt;0,'Biodiversity Assessment'!$BD$102*VLOOKUP(CONCATENATE(B5,C5,'ESVD - Land Use &amp; Climate Match'!$A$32)&amp;"1",'ESVD - SUMMARY TABLE'!$E$2:$G$294,3,FALSE),0)+IF('Biodiversity Assessment'!$BD$103&gt;0,'Biodiversity Assessment'!$BD$103*VLOOKUP(CONCATENATE(B5,C5,'ESVD - Land Use &amp; Climate Match'!$A$32)&amp;"2",'ESVD - SUMMARY TABLE'!$E$2:$G$294,3,FALSE),0)+IF('Biodiversity Assessment'!$BD$104&gt;0,'Biodiversity Assessment'!$BD$104*VLOOKUP(CONCATENATE(B5,C5,'ESVD - Land Use &amp; Climate Match'!$A$32)&amp;"3",'ESVD - SUMMARY TABLE'!$E$2:$G$294,3,FALSE),0)+IF('Biodiversity Assessment'!$BD$105&gt;0,'Biodiversity Assessment'!$BD$105*VLOOKUP(CONCATENATE(B5,C5,'ESVD - Land Use &amp; Climate Match'!$A$32)&amp;"4",'ESVD - SUMMARY TABLE'!$E$2:$G$294,3,FALSE),0)+IF('Biodiversity Assessment'!$BD$106&gt;0,'Biodiversity Assessment'!$BD$106*VLOOKUP(CONCATENATE(B5,C5,'ESVD - Land Use &amp; Climate Match'!$A$32)&amp;"5",'ESVD - SUMMARY TABLE'!$E$2:$G$294,3,FALSE)))))),0)</f>
        <v>0</v>
      </c>
      <c r="V5" s="122">
        <f>IFERROR(IF(S5='ESVD - Land Use &amp; Climate Match'!$A$1,IF(SUM('Biodiversity Assessment'!$O$102:$P$105)=SUM('Biodiversity Assessment'!$J$102:$M$105),IF('Biodiversity Assessment'!$O$102&gt;0,'Biodiversity Assessment'!$O$102*VLOOKUP('ESVD - Social Value of Bio'!T5&amp;"1",'ESVD - SUMMARY TABLE'!$E$2:$G$294,3,),0)+IF('Biodiversity Assessment'!$O$103&gt;0,'Biodiversity Assessment'!$O$103*VLOOKUP('ESVD - Social Value of Bio'!T5&amp;"2",'ESVD - SUMMARY TABLE'!$E$2:$G$294,3,),0)+IF('Biodiversity Assessment'!$O$104&gt;0,'Biodiversity Assessment'!$O$104*VLOOKUP('ESVD - Social Value of Bio'!T5&amp;"3",'ESVD - SUMMARY TABLE'!$E$2:$G$294,3,),0)+IF('Biodiversity Assessment'!$O$105&gt;0,'Biodiversity Assessment'!$O$105*VLOOKUP('ESVD - Social Value of Bio'!T5&amp;"4",'ESVD - SUMMARY TABLE'!$E$2:$G$294,3,),0),0),IF(S5='ESVD - Land Use &amp; Climate Match'!$A$11,IF(SUM('Biodiversity Assessment'!$AH$102:$AN$105)=SUM('Biodiversity Assessment'!$Z$102:$AF$105),IF('Biodiversity Assessment'!$AH$102&gt;0,'Biodiversity Assessment'!$AH$102*VLOOKUP('ESVD - Social Value of Bio'!T5&amp;"1",'ESVD - SUMMARY TABLE'!$E$2:$G$294,3,FALSE),0)+IF('Biodiversity Assessment'!$AH$103&gt;0,'Biodiversity Assessment'!$AH$103*VLOOKUP('ESVD - Social Value of Bio'!T5&amp;"2",'ESVD - SUMMARY TABLE'!$E$2:$G$294,3,FALSE),0)+IF('Biodiversity Assessment'!$AH$104&gt;0,'Biodiversity Assessment'!$AH$104*VLOOKUP('ESVD - Social Value of Bio'!T5&amp;"3",'ESVD - SUMMARY TABLE'!$E$2:$G$294,3,FALSE),0)+IF('Biodiversity Assessment'!$AH$105&gt;0,'Biodiversity Assessment'!$AH$105*VLOOKUP('ESVD - Social Value of Bio'!T5&amp;"4",'ESVD - SUMMARY TABLE'!$E$2:$G$294,3,FALSE),0),0),IF(S5='ESVD - Land Use &amp; Climate Match'!$A$32,IF(SUM('Biodiversity Assessment'!$BF$102:$BF$106)=SUM('Biodiversity Assessment'!$BD$102:$BD$106),IF('Biodiversity Assessment'!$BF$102&gt;0,'Biodiversity Assessment'!$BF$102*VLOOKUP('ESVD - Social Value of Bio'!T5&amp;"1",'ESVD - SUMMARY TABLE'!$E$2:$G$294,3,FALSE),0)+IF('Biodiversity Assessment'!$BF$103&gt;0,'Biodiversity Assessment'!$BF$103*VLOOKUP('ESVD - Social Value of Bio'!T5&amp;"2",'ESVD - SUMMARY TABLE'!$E$2:$G$294,3,FALSE),0)+IF('Biodiversity Assessment'!$BF$104&gt;0,'Biodiversity Assessment'!$BF$104*VLOOKUP('ESVD - Social Value of Bio'!T5&amp;"3",'ESVD - SUMMARY TABLE'!$E$2:$G$294,3,FALSE),0)+IF('Biodiversity Assessment'!$BF$105&gt;0,'Biodiversity Assessment'!$BF$105*VLOOKUP('ESVD - Social Value of Bio'!T5&amp;"4",'ESVD - SUMMARY TABLE'!$E$2:$G$294,3,FALSE),0)+IF('Biodiversity Assessment'!$BF$106&gt;0,'Biodiversity Assessment'!$BF$106*VLOOKUP('ESVD - Social Value of Bio'!T5&amp;"5",'ESVD - SUMMARY TABLE'!$E$2:$G$294,3,FALSE),0),0),AVERAGE(IF(SUM('Biodiversity Assessment'!$O$102:$P$105)=SUM('Biodiversity Assessment'!$J$102:$M$105),IF('Biodiversity Assessment'!$O$102&gt;0,'Biodiversity Assessment'!$O$102*VLOOKUP(CONCATENATE($B5,$C5,'ESVD - Land Use &amp; Climate Match'!$A$1)&amp;"1",'ESVD - SUMMARY TABLE'!$E$2:$G$294,3,),0)+IF('Biodiversity Assessment'!$O$103&gt;0,'Biodiversity Assessment'!$O$103*VLOOKUP(CONCATENATE($B5,$C5,'ESVD - Land Use &amp; Climate Match'!$A$1)&amp;"2",'ESVD - SUMMARY TABLE'!$E$2:$G$294,3,),0)+IF('Biodiversity Assessment'!$O$104&gt;0,'Biodiversity Assessment'!$O$104*VLOOKUP(CONCATENATE($B5,$C5,'ESVD - Land Use &amp; Climate Match'!$A$1)&amp;"3",'ESVD - SUMMARY TABLE'!$E$2:$G$294,3,),0)+IF('Biodiversity Assessment'!$O$105&gt;0,'Biodiversity Assessment'!$O$105*VLOOKUP(CONCATENATE($B5,$C5,'ESVD - Land Use &amp; Climate Match'!$A$1)&amp;"4",'ESVD - SUMMARY TABLE'!$E$2:$G$294,3,),0),0),IF(SUM('Biodiversity Assessment'!$AH$102:$AN$105)=SUM('Biodiversity Assessment'!$Z$102:$AF$105),IF('Biodiversity Assessment'!$AH$102&gt;0,'Biodiversity Assessment'!$AH$102*VLOOKUP(CONCATENATE($B5,$C5,'ESVD - Land Use &amp; Climate Match'!$A$11)&amp;"1",'ESVD - SUMMARY TABLE'!$E$2:$G$294,3,FALSE),0)+IF('Biodiversity Assessment'!$AH$103&gt;0,'Biodiversity Assessment'!$AH$103*VLOOKUP(CONCATENATE($B5,$C5,'ESVD - Land Use &amp; Climate Match'!$A$11)&amp;"2",'ESVD - SUMMARY TABLE'!$E$2:$G$294,3,FALSE),0)+IF('Biodiversity Assessment'!$AH$104&gt;0,'Biodiversity Assessment'!$AH$104*VLOOKUP(CONCATENATE($B5,$C5,'ESVD - Land Use &amp; Climate Match'!$A$11)&amp;"3",'ESVD - SUMMARY TABLE'!$E$2:$G$294,3,FALSE),0)+IF('Biodiversity Assessment'!$AH$105&gt;0,'Biodiversity Assessment'!$AH$105*VLOOKUP(CONCATENATE($B5,$C5,'ESVD - Land Use &amp; Climate Match'!$A$11)&amp;"4",'ESVD - SUMMARY TABLE'!$E$2:$G$294,3,FALSE),0),0),IF(SUM('Biodiversity Assessment'!$BF$102:$BF$106)=SUM('Biodiversity Assessment'!$BD$102:$BD$106),IF('Biodiversity Assessment'!$BF$102&gt;0,'Biodiversity Assessment'!$BF$102*VLOOKUP(CONCATENATE($B5,$C5,'ESVD - Land Use &amp; Climate Match'!$A$32)&amp;"1",'ESVD - SUMMARY TABLE'!$E$2:$G$294,3,FALSE),0)+IF('Biodiversity Assessment'!$BF$103&gt;0,'Biodiversity Assessment'!$BF$103*VLOOKUP(CONCATENATE($B5,$C5,'ESVD - Land Use &amp; Climate Match'!$A$32)&amp;"2",'ESVD - SUMMARY TABLE'!$E$2:$G$294,3,FALSE),0)+IF('Biodiversity Assessment'!$BF$104&gt;0,'Biodiversity Assessment'!$BF$104*VLOOKUP(CONCATENATE($B5,$C5,'ESVD - Land Use &amp; Climate Match'!$A$32)&amp;"3",'ESVD - SUMMARY TABLE'!$E$2:$G$294,3,FALSE),0)+IF('Biodiversity Assessment'!$BF$105&gt;0,'Biodiversity Assessment'!$BF$105*VLOOKUP(CONCATENATE($B5,$C5,'ESVD - Land Use &amp; Climate Match'!$A$32)&amp;"4",'ESVD - SUMMARY TABLE'!$E$2:$G$294,3,FALSE),0)+IF('Biodiversity Assessment'!$BF$106&gt;0,'Biodiversity Assessment'!$BF$106*VLOOKUP(CONCATENATE($B5,$C5,'ESVD - Land Use &amp; Climate Match'!$A$32)&amp;"5",'ESVD - SUMMARY TABLE'!$E$2:$G$294,3,FALSE),0),0))))),0)</f>
        <v>0</v>
      </c>
      <c r="W5" s="122">
        <f>'Biodiversity Assessment'!CX20</f>
        <v>0</v>
      </c>
      <c r="X5" s="122">
        <f>IFERROR(IF(W5&gt;0,W5*'Biodiversity Assessment'!$U20,IF(V5&gt;0,V5*'Biodiversity Assessment'!$U20,U5*'Biodiversity Assessment'!$U20)),0)</f>
        <v>0</v>
      </c>
      <c r="Y5" s="454"/>
      <c r="Z5" s="123">
        <f>IFERROR(IF(S5='ESVD - Land Use &amp; Climate Match'!$A$1,IF('Biodiversity Assessment'!$J$102&gt;0,'Biodiversity Assessment'!$J$102*VLOOKUP('ESVD - Social Value of Bio'!T5&amp;"1",'ESVD - SUMMARY TABLE'!$E$2:$G$294,3,),0)+IF('Biodiversity Assessment'!$J$103&gt;0,'Biodiversity Assessment'!$J$103*VLOOKUP('ESVD - Social Value of Bio'!T5&amp;"2",'ESVD - SUMMARY TABLE'!$E$2:$G$294,3,),0)+IF('Biodiversity Assessment'!$J$104&gt;0,'Biodiversity Assessment'!$J$104*VLOOKUP('ESVD - Social Value of Bio'!T5&amp;"3",'ESVD - SUMMARY TABLE'!$E$2:$G$294,3,),0)+IF('Biodiversity Assessment'!$J$105&gt;0,'Biodiversity Assessment'!$J$105*VLOOKUP('ESVD - Social Value of Bio'!T5&amp;"4",'ESVD - SUMMARY TABLE'!$E$2:$G$294,3,),0),IF(S5='ESVD - Land Use &amp; Climate Match'!$A$11,IF('Biodiversity Assessment'!$Z$102&gt;0,'Biodiversity Assessment'!$Z$102*VLOOKUP('ESVD - Social Value of Bio'!T5&amp;"1",'ESVD - SUMMARY TABLE'!$E$2:$G$294,3,FALSE),0)+IF('Biodiversity Assessment'!$Z$103&gt;0,'Biodiversity Assessment'!$Z$103*VLOOKUP('ESVD - Social Value of Bio'!T5&amp;"2",'ESVD - SUMMARY TABLE'!$E$2:$G$294,3,FALSE),0)+IF('Biodiversity Assessment'!$Z$104&gt;0,'Biodiversity Assessment'!$Z$104*VLOOKUP('ESVD - Social Value of Bio'!T5&amp;"3",'ESVD - SUMMARY TABLE'!$E$2:$G$294,3,FALSE),0)+IF('Biodiversity Assessment'!$Z$105&gt;0,'Biodiversity Assessment'!$Z$105*VLOOKUP('ESVD - Social Value of Bio'!T5&amp;"4",'ESVD - SUMMARY TABLE'!$E$2:$G$294,3,FALSE),0),IF(S5='ESVD - Land Use &amp; Climate Match'!$A$32,IF('Biodiversity Assessment'!$BD$102&gt;0,'Biodiversity Assessment'!$BD$102*VLOOKUP('ESVD - Social Value of Bio'!T5&amp;"1",'ESVD - SUMMARY TABLE'!$E$2:$G$294,3,FALSE),0)+IF('Biodiversity Assessment'!$BD$103&gt;0,'Biodiversity Assessment'!$BD$103*VLOOKUP('ESVD - Social Value of Bio'!T5&amp;"2",'ESVD - SUMMARY TABLE'!$E$2:$G$294,3,FALSE),0)+IF('Biodiversity Assessment'!$BD$104&gt;0,'Biodiversity Assessment'!$BD$104*VLOOKUP('ESVD - Social Value of Bio'!T5&amp;"3",'ESVD - SUMMARY TABLE'!$E$2:$G$294,3,FALSE),0)+IF('Biodiversity Assessment'!$BD$105&gt;0,'Biodiversity Assessment'!$BD$105*VLOOKUP('ESVD - Social Value of Bio'!T5&amp;"4",'ESVD - SUMMARY TABLE'!$E$2:$G$294,3,FALSE),0)+IF('Biodiversity Assessment'!$BD$106&gt;0,'Biodiversity Assessment'!$BD$106*VLOOKUP('ESVD - Social Value of Bio'!T5&amp;"5",'ESVD - SUMMARY TABLE'!$E$2:$G$294,3,FALSE),0),VLOOKUP('ESVD - Social Value of Bio'!T5&amp;"1",'ESVD - SUMMARY TABLE'!$E$2:$G$294,3,FALSE)))),0)</f>
        <v>0</v>
      </c>
      <c r="AA5" s="123">
        <f>IFERROR(IF(S5='ESVD - Land Use &amp; Climate Match'!$A$1,IF(SUM('Biodiversity Assessment'!$O$102:$P$105)=SUM('Biodiversity Assessment'!$J$102:$M$105),IF('Biodiversity Assessment'!$O$102&gt;0,'Biodiversity Assessment'!$O$102*VLOOKUP('ESVD - Social Value of Bio'!T5&amp;"1",'ESVD - SUMMARY TABLE'!$E$2:$G$294,3,),0)+IF('Biodiversity Assessment'!$O$103&gt;0,'Biodiversity Assessment'!$O$103*VLOOKUP('ESVD - Social Value of Bio'!T5&amp;"2",'ESVD - SUMMARY TABLE'!$E$2:$G$294,3,),0)+IF('Biodiversity Assessment'!$O$104&gt;0,'Biodiversity Assessment'!$O$104*VLOOKUP('ESVD - Social Value of Bio'!T5&amp;"3",'ESVD - SUMMARY TABLE'!$E$2:$G$294,3,),0)+IF('Biodiversity Assessment'!$O$105&gt;0,'Biodiversity Assessment'!$O$105*VLOOKUP('ESVD - Social Value of Bio'!T5&amp;"4",'ESVD - SUMMARY TABLE'!$E$2:$G$294,3,),0),0),IF(S5='ESVD - Land Use &amp; Climate Match'!$A$11,IF(SUM('Biodiversity Assessment'!$AH$102:$AN$105)=SUM('Biodiversity Assessment'!$Z$102:$AF$105),IF('Biodiversity Assessment'!$AH$102&gt;0,'Biodiversity Assessment'!$AH$102*VLOOKUP('ESVD - Social Value of Bio'!T5&amp;"1",'ESVD - SUMMARY TABLE'!$E$2:$G$294,3,FALSE),0)+IF('Biodiversity Assessment'!$AH$103&gt;0,'Biodiversity Assessment'!$AH$103*VLOOKUP('ESVD - Social Value of Bio'!T5&amp;"2",'ESVD - SUMMARY TABLE'!$E$2:$G$294,3,FALSE),0)+IF('Biodiversity Assessment'!$AH$104&gt;0,'Biodiversity Assessment'!$AH$104*VLOOKUP('ESVD - Social Value of Bio'!T5&amp;"3",'ESVD - SUMMARY TABLE'!$E$2:$G$294,3,FALSE),0)+IF('Biodiversity Assessment'!$AH$105&gt;0,'Biodiversity Assessment'!$AH$105*VLOOKUP('ESVD - Social Value of Bio'!T5&amp;"4",'ESVD - SUMMARY TABLE'!$E$2:$G$294,3,FALSE),0),0),IF(S5='ESVD - Land Use &amp; Climate Match'!$A$32,IF(SUM('Biodiversity Assessment'!$BF$102:$BF$106)=SUM('Biodiversity Assessment'!$BD$102:$BD$106),IF('Biodiversity Assessment'!$BF$102&gt;0,'Biodiversity Assessment'!$BF$102*VLOOKUP('ESVD - Social Value of Bio'!T5&amp;"1",'ESVD - SUMMARY TABLE'!$E$2:$G$294,3,FALSE),0)+IF('Biodiversity Assessment'!$BF$103&gt;0,'Biodiversity Assessment'!$BF$103*VLOOKUP('ESVD - Social Value of Bio'!T5&amp;"2",'ESVD - SUMMARY TABLE'!$E$2:$G$294,3,FALSE),0)+IF('Biodiversity Assessment'!$BF$104&gt;0,'Biodiversity Assessment'!$BF$104*VLOOKUP('ESVD - Social Value of Bio'!T5&amp;"3",'ESVD - SUMMARY TABLE'!$E$2:$G$294,3,FALSE),0)+IF('Biodiversity Assessment'!$BF$105&gt;0,'Biodiversity Assessment'!$BF$105*VLOOKUP('ESVD - Social Value of Bio'!T5&amp;"4",'ESVD - SUMMARY TABLE'!$E$2:$G$294,3,FALSE),0)+IF('Biodiversity Assessment'!$BF$106&gt;0,'Biodiversity Assessment'!$BF$106*VLOOKUP('ESVD - Social Value of Bio'!T5&amp;"5",'ESVD - SUMMARY TABLE'!$E$2:$G$294,3,FALSE),0),0),VLOOKUP('ESVD - Social Value of Bio'!T5&amp;"1",'ESVD - SUMMARY TABLE'!$E$2:$G$294,3,FALSE)))),0)</f>
        <v>0</v>
      </c>
      <c r="AB5" s="123">
        <f>'Biodiversity Assessment'!CX20</f>
        <v>0</v>
      </c>
      <c r="AC5" s="124">
        <f>IFERROR(IF(AB5&gt;0,AB5*'Biodiversity Assessment'!U20,IF(AA5&gt;0,AA5*'Biodiversity Assessment'!U20,Z5*'Biodiversity Assessment'!U20)),0)</f>
        <v>0</v>
      </c>
      <c r="AD5" s="456"/>
      <c r="AG5" s="453"/>
    </row>
    <row r="6" spans="1:33" s="110" customFormat="1" ht="10.5" x14ac:dyDescent="0.25">
      <c r="A6" s="107" t="s">
        <v>211</v>
      </c>
      <c r="B6" s="108" t="str">
        <f>IF(Start!$D$28&gt;1000,CONCATENATE(Start!$D$20," Mountain"),Start!$D$20)</f>
        <v>Please select</v>
      </c>
      <c r="C6" s="108" t="str">
        <f>Start!$D$24</f>
        <v>Please select</v>
      </c>
      <c r="D6" s="109" t="str">
        <f>'Biodiversity Assessment'!G21</f>
        <v>Select land use</v>
      </c>
      <c r="E6" s="109" t="str">
        <f>IF(OR(D6=Data!$E$4,D6=Data!$E$5,D6=Data!$E$6,D6=Data!$E$7),Data!$E$4,IF(OR(D6=Data!$E$9,D6=Data!$E$10,D6=Data!$E$11),Data!$E$9,IF(OR(D6=Data!$E$12,D6=Data!$E$13,D6=Data!$E$14),"Cropland",IF(OR(D6=Data!$E$16,D6=Data!$E$17),"Agroforestry",D6))))</f>
        <v>Select land use</v>
      </c>
      <c r="F6" s="109" t="str">
        <f t="shared" si="0"/>
        <v>Please selectPlease selectSelect land use</v>
      </c>
      <c r="G6" s="122">
        <f>IFERROR(IF(E6='ESVD - Land Use &amp; Climate Match'!$A$1,IF('Biodiversity Assessment'!$J$102&gt;0,'Biodiversity Assessment'!$J$102*VLOOKUP('ESVD - Social Value of Bio'!F6&amp;"1",'ESVD - SUMMARY TABLE'!$E$2:$G$294,3,),0)+IF('Biodiversity Assessment'!$J$103&gt;0,'Biodiversity Assessment'!$J$103*VLOOKUP('ESVD - Social Value of Bio'!F6&amp;"2",'ESVD - SUMMARY TABLE'!$E$2:$G$294,3,),0)+IF('Biodiversity Assessment'!$J$104&gt;0,'Biodiversity Assessment'!$J$104*VLOOKUP('ESVD - Social Value of Bio'!F6&amp;"3",'ESVD - SUMMARY TABLE'!$E$2:$G$294,3,),0)+IF('Biodiversity Assessment'!$J$105&gt;0,'Biodiversity Assessment'!$J$105*VLOOKUP('ESVD - Social Value of Bio'!F6&amp;"4",'ESVD - SUMMARY TABLE'!$E$2:$G$294,3,),0),IF(E6='ESVD - Land Use &amp; Climate Match'!$A$11,IF('Biodiversity Assessment'!$Z$102&gt;0,'Biodiversity Assessment'!$Z$102*VLOOKUP('ESVD - Social Value of Bio'!F6&amp;"1",'ESVD - SUMMARY TABLE'!$E$2:$G$294,3,FALSE),0)+IF('Biodiversity Assessment'!$Z$103&gt;0,'Biodiversity Assessment'!$Z$103*VLOOKUP('ESVD - Social Value of Bio'!F6&amp;"2",'ESVD - SUMMARY TABLE'!$E$2:$G$294,3,FALSE),0)+IF('Biodiversity Assessment'!$Z$104&gt;0,'Biodiversity Assessment'!$Z$104*VLOOKUP('ESVD - Social Value of Bio'!F6&amp;"3",'ESVD - SUMMARY TABLE'!$E$2:$G$294,3,FALSE),0)+IF('Biodiversity Assessment'!$Z$105&gt;0,'Biodiversity Assessment'!$Z$105*VLOOKUP('ESVD - Social Value of Bio'!F6&amp;"4",'ESVD - SUMMARY TABLE'!$E$2:$G$294,3,FALSE),0),IF(E6='ESVD - Land Use &amp; Climate Match'!$A$32,IF('Biodiversity Assessment'!$BD$102&gt;0,'Biodiversity Assessment'!$BD$102*VLOOKUP('ESVD - Social Value of Bio'!F6&amp;"1",'ESVD - SUMMARY TABLE'!$E$2:$G$294,3,FALSE),0)+IF('Biodiversity Assessment'!$BD$103&gt;0,'Biodiversity Assessment'!$BD$103*VLOOKUP('ESVD - Social Value of Bio'!F6&amp;"2",'ESVD - SUMMARY TABLE'!$E$2:$G$294,3,FALSE),0)+IF('Biodiversity Assessment'!$BD$104&gt;0,'Biodiversity Assessment'!$BD$104*VLOOKUP('ESVD - Social Value of Bio'!F6&amp;"3",'ESVD - SUMMARY TABLE'!$E$2:$G$294,3,FALSE),0)+IF('Biodiversity Assessment'!$BD$105&gt;0,'Biodiversity Assessment'!$BD$105*VLOOKUP('ESVD - Social Value of Bio'!F6&amp;"4",'ESVD - SUMMARY TABLE'!$E$2:$G$294,3,FALSE),0)+IF('Biodiversity Assessment'!$BD$106&gt;0,'Biodiversity Assessment'!$BD$106*VLOOKUP('ESVD - Social Value of Bio'!F6&amp;"5",'ESVD - SUMMARY TABLE'!$E$2:$G$294,3,FALSE),0),AVERAGE(IF('Biodiversity Assessment'!$J$102&gt;0,'Biodiversity Assessment'!$J$102*VLOOKUP(CONCATENATE($B6,$C6,'ESVD - Land Use &amp; Climate Match'!$A$1)&amp;"1",'ESVD - SUMMARY TABLE'!$E$2:$G$294,3,),0)+IF('Biodiversity Assessment'!$J$103&gt;0,'Biodiversity Assessment'!$J$103*VLOOKUP(CONCATENATE($B6,$C6,'ESVD - Land Use &amp; Climate Match'!$A$1)&amp;"2",'ESVD - SUMMARY TABLE'!$E$2:$G$294,3,),0)+IF('Biodiversity Assessment'!$J$104&gt;0,'Biodiversity Assessment'!$J$104*VLOOKUP(CONCATENATE($B6,$C6,'ESVD - Land Use &amp; Climate Match'!$A$1)&amp;"3",'ESVD - SUMMARY TABLE'!$E$2:$G$294,3,),0)+IF('Biodiversity Assessment'!$J$105&gt;0,'Biodiversity Assessment'!$J$105*VLOOKUP(CONCATENATE($B6,$C6,'ESVD - Land Use &amp; Climate Match'!$A$1)&amp;"4",'ESVD - SUMMARY TABLE'!$E$2:$G$294,3,),0),IF('Biodiversity Assessment'!$Z$102&gt;0,'Biodiversity Assessment'!$Z$102*VLOOKUP(CONCATENATE($B6,$C6,'ESVD - Land Use &amp; Climate Match'!$A$11)&amp;"1",'ESVD - SUMMARY TABLE'!$E$2:$G$294,3,FALSE),0)+IF('Biodiversity Assessment'!$Z$103&gt;0,'Biodiversity Assessment'!$Z$103*VLOOKUP(CONCATENATE($B6,$C6,'ESVD - Land Use &amp; Climate Match'!$A$11)&amp;"2",'ESVD - SUMMARY TABLE'!$E$2:$G$294,3,FALSE),0)+IF('Biodiversity Assessment'!$Z$104&gt;0,'Biodiversity Assessment'!$Z$104*VLOOKUP(CONCATENATE($B6,$C6,'ESVD - Land Use &amp; Climate Match'!$A$11)&amp;"3",'ESVD - SUMMARY TABLE'!$E$2:$G$294,3,FALSE),0)+IF('Biodiversity Assessment'!$Z$105&gt;0,'Biodiversity Assessment'!$Z$105*VLOOKUP(CONCATENATE($B6,$C6,'ESVD - Land Use &amp; Climate Match'!$A$11)&amp;"4",'ESVD - SUMMARY TABLE'!$E$2:$G$294,3,FALSE),0),IF('Biodiversity Assessment'!$BD$102&gt;0,'Biodiversity Assessment'!$BD$102*VLOOKUP(CONCATENATE($B6,$C6,'ESVD - Land Use &amp; Climate Match'!$A$32)&amp;"1",'ESVD - SUMMARY TABLE'!$E$2:$G$294,3,FALSE),0)+IF('Biodiversity Assessment'!$BD$103&gt;0,'Biodiversity Assessment'!$BD$103*VLOOKUP(CONCATENATE($B6,$C6,'ESVD - Land Use &amp; Climate Match'!$A$32)&amp;"2",'ESVD - SUMMARY TABLE'!$E$2:$G$294,3,FALSE),0)+IF('Biodiversity Assessment'!$BD$104&gt;0,'Biodiversity Assessment'!$BD$104*VLOOKUP(CONCATENATE($B6,$C6,'ESVD - Land Use &amp; Climate Match'!$A$32)&amp;"3",'ESVD - SUMMARY TABLE'!$E$2:$G$294,3,FALSE),0)+IF('Biodiversity Assessment'!$BD$105&gt;0,'Biodiversity Assessment'!$BD$105*VLOOKUP(CONCATENATE($B6,$C6,'ESVD - Land Use &amp; Climate Match'!$A$32)&amp;"4",'ESVD - SUMMARY TABLE'!$E$2:$G$294,3,FALSE),0)+IF('Biodiversity Assessment'!$BD$106&gt;0,'Biodiversity Assessment'!$BD$106*VLOOKUP(CONCATENATE($B6,$C6,'ESVD - Land Use &amp; Climate Match'!$A$32)&amp;"5",'ESVD - SUMMARY TABLE'!$E$2:$G$294,3,FALSE)))))),0)</f>
        <v>0</v>
      </c>
      <c r="H6" s="122">
        <f>IFERROR(IF(E6='ESVD - Land Use &amp; Climate Match'!$A$1,IF(SUM('Biodiversity Assessment'!$O$102:$P$105)=SUM('Biodiversity Assessment'!$J$102:$M$105),IF('Biodiversity Assessment'!$O$102&gt;0,'Biodiversity Assessment'!$O$102*VLOOKUP('ESVD - Social Value of Bio'!F6&amp;"1",'ESVD - SUMMARY TABLE'!$E$2:$G$294,3,),0)+IF('Biodiversity Assessment'!$O$103&gt;0,'Biodiversity Assessment'!$O$103*VLOOKUP('ESVD - Social Value of Bio'!F6&amp;"2",'ESVD - SUMMARY TABLE'!$E$2:$G$294,3,),0)+IF('Biodiversity Assessment'!$O$104&gt;0,'Biodiversity Assessment'!$O$104*VLOOKUP('ESVD - Social Value of Bio'!F6&amp;"3",'ESVD - SUMMARY TABLE'!$E$2:$G$294,3,),0)+IF('Biodiversity Assessment'!$O$105&gt;0,'Biodiversity Assessment'!$O$105*VLOOKUP('ESVD - Social Value of Bio'!F6&amp;"4",'ESVD - SUMMARY TABLE'!$E$2:$G$294,3,),0),0),IF(E6='ESVD - Land Use &amp; Climate Match'!$A$11,IF(SUM('Biodiversity Assessment'!$AH$102:$AN$105)=SUM('Biodiversity Assessment'!$Z$102:$AF$105),IF('Biodiversity Assessment'!$AH$102&gt;0,'Biodiversity Assessment'!$AH$102*VLOOKUP('ESVD - Social Value of Bio'!F6&amp;"1",'ESVD - SUMMARY TABLE'!$E$2:$G$294,3,FALSE),0)+IF('Biodiversity Assessment'!$AH$103&gt;0,'Biodiversity Assessment'!$AH$103*VLOOKUP('ESVD - Social Value of Bio'!F6&amp;"2",'ESVD - SUMMARY TABLE'!$E$2:$G$294,3,FALSE),0)+IF('Biodiversity Assessment'!$AH$104&gt;0,'Biodiversity Assessment'!$AH$104*VLOOKUP('ESVD - Social Value of Bio'!F6&amp;"3",'ESVD - SUMMARY TABLE'!$E$2:$G$294,3,FALSE),0)+IF('Biodiversity Assessment'!$AH$105&gt;0,'Biodiversity Assessment'!$AH$105*VLOOKUP('ESVD - Social Value of Bio'!F6&amp;"4",'ESVD - SUMMARY TABLE'!$E$2:$G$294,3,FALSE),0),0),IF(E6='ESVD - Land Use &amp; Climate Match'!$A$32,IF(SUM('Biodiversity Assessment'!$BF$102:$BF$106)=SUM('Biodiversity Assessment'!$BD$102:$BD$106),IF('Biodiversity Assessment'!$BF$102&gt;0,'Biodiversity Assessment'!$BF$102*VLOOKUP('ESVD - Social Value of Bio'!F6&amp;"1",'ESVD - SUMMARY TABLE'!$E$2:$G$294,3,FALSE),0)+IF('Biodiversity Assessment'!$BF$103&gt;0,'Biodiversity Assessment'!$BF$103*VLOOKUP('ESVD - Social Value of Bio'!F6&amp;"2",'ESVD - SUMMARY TABLE'!$E$2:$G$294,3,FALSE),0)+IF('Biodiversity Assessment'!$BF$104&gt;0,'Biodiversity Assessment'!$BF$104*VLOOKUP('ESVD - Social Value of Bio'!F6&amp;"3",'ESVD - SUMMARY TABLE'!$E$2:$G$294,3,FALSE),0)+IF('Biodiversity Assessment'!$BF$105&gt;0,'Biodiversity Assessment'!$BF$105*VLOOKUP('ESVD - Social Value of Bio'!F6&amp;"4",'ESVD - SUMMARY TABLE'!$E$2:$G$294,3,FALSE),0)+IF('Biodiversity Assessment'!$BF$106&gt;0,'Biodiversity Assessment'!$BF$106*VLOOKUP('ESVD - Social Value of Bio'!F6&amp;"5",'ESVD - SUMMARY TABLE'!$E$2:$G$294,3,FALSE),0),0),AVERAGE(IF(SUM('Biodiversity Assessment'!$O$102:$P$105)=SUM('Biodiversity Assessment'!$J$102:$M$105),IF('Biodiversity Assessment'!$O$102&gt;0,'Biodiversity Assessment'!$O$102*VLOOKUP(CONCATENATE($B6,$C6,'ESVD - Land Use &amp; Climate Match'!$A$1)&amp;"1",'ESVD - SUMMARY TABLE'!$E$2:$G$294,3,),0)+IF('Biodiversity Assessment'!$O$103&gt;0,'Biodiversity Assessment'!$O$103*VLOOKUP(CONCATENATE($B6,$C6,'ESVD - Land Use &amp; Climate Match'!$A$1)&amp;"2",'ESVD - SUMMARY TABLE'!$E$2:$G$294,3,),0)+IF('Biodiversity Assessment'!$O$104&gt;0,'Biodiversity Assessment'!$O$104*VLOOKUP(CONCATENATE($B6,$C6,'ESVD - Land Use &amp; Climate Match'!$A$1)&amp;"3",'ESVD - SUMMARY TABLE'!$E$2:$G$294,3,),0)+IF('Biodiversity Assessment'!$O$105&gt;0,'Biodiversity Assessment'!$O$105*VLOOKUP(CONCATENATE($B6,$C6,'ESVD - Land Use &amp; Climate Match'!$A$1)&amp;"4",'ESVD - SUMMARY TABLE'!$E$2:$G$294,3,),0),0),IF(SUM('Biodiversity Assessment'!$AH$102:$AN$105)=SUM('Biodiversity Assessment'!$Z$102:$AF$105),IF('Biodiversity Assessment'!$AH$102&gt;0,'Biodiversity Assessment'!$AH$102*VLOOKUP(CONCATENATE($B6,$C6,'ESVD - Land Use &amp; Climate Match'!$A$11)&amp;"1",'ESVD - SUMMARY TABLE'!$E$2:$G$294,3,FALSE),0)+IF('Biodiversity Assessment'!$AH$103&gt;0,'Biodiversity Assessment'!$AH$103*VLOOKUP(CONCATENATE($B6,$C6,'ESVD - Land Use &amp; Climate Match'!$A$11)&amp;"2",'ESVD - SUMMARY TABLE'!$E$2:$G$294,3,FALSE),0)+IF('Biodiversity Assessment'!$AH$104&gt;0,'Biodiversity Assessment'!$AH$104*VLOOKUP(CONCATENATE($B6,$C6,'ESVD - Land Use &amp; Climate Match'!$A$11)&amp;"3",'ESVD - SUMMARY TABLE'!$E$2:$G$294,3,FALSE),0)+IF('Biodiversity Assessment'!$AH$105&gt;0,'Biodiversity Assessment'!$AH$105*VLOOKUP(CONCATENATE($B6,$C6,'ESVD - Land Use &amp; Climate Match'!$A$11)&amp;"4",'ESVD - SUMMARY TABLE'!$E$2:$G$294,3,FALSE),0),0),IF(SUM('Biodiversity Assessment'!$BF$102:$BF$106)=SUM('Biodiversity Assessment'!$BD$102:$BD$106),IF('Biodiversity Assessment'!$BF$102&gt;0,'Biodiversity Assessment'!$BF$102*VLOOKUP(CONCATENATE($B6,$C6,'ESVD - Land Use &amp; Climate Match'!$A$32)&amp;"1",'ESVD - SUMMARY TABLE'!$E$2:$G$294,3,FALSE),0)+IF('Biodiversity Assessment'!$BF$103&gt;0,'Biodiversity Assessment'!$BF$103*VLOOKUP(CONCATENATE($B6,$C6,'ESVD - Land Use &amp; Climate Match'!$A$32)&amp;"2",'ESVD - SUMMARY TABLE'!$E$2:$G$294,3,FALSE),0)+IF('Biodiversity Assessment'!$BF$104&gt;0,'Biodiversity Assessment'!$BF$104*VLOOKUP(CONCATENATE($B6,$C6,'ESVD - Land Use &amp; Climate Match'!$A$32)&amp;"3",'ESVD - SUMMARY TABLE'!$E$2:$G$294,3,FALSE),0)+IF('Biodiversity Assessment'!$BF$105&gt;0,'Biodiversity Assessment'!$BF$105*VLOOKUP(CONCATENATE($B6,$C6,'ESVD - Land Use &amp; Climate Match'!$A$32)&amp;"4",'ESVD - SUMMARY TABLE'!$E$2:$G$294,3,FALSE),0)+IF('Biodiversity Assessment'!$BF$106&gt;0,'Biodiversity Assessment'!$BF$106*VLOOKUP(CONCATENATE($B6,$C6,'ESVD - Land Use &amp; Climate Match'!$A$32)&amp;"5",'ESVD - SUMMARY TABLE'!$E$2:$G$294,3,FALSE),0),0))))),0)</f>
        <v>0</v>
      </c>
      <c r="I6" s="122">
        <f>'Biodiversity Assessment'!CR21</f>
        <v>0</v>
      </c>
      <c r="J6" s="122">
        <f>IFERROR(IF(I6&gt;0,I6*'Biodiversity Assessment'!$M21,IF(H6&gt;0,H6*'Biodiversity Assessment'!$M21,G6*'Biodiversity Assessment'!$M21)),0)</f>
        <v>0</v>
      </c>
      <c r="K6" s="454"/>
      <c r="L6" s="123">
        <f>IFERROR(IF(E6='ESVD - Land Use &amp; Climate Match'!$A$1,IF('Biodiversity Assessment'!$J$102&gt;0,'Biodiversity Assessment'!$J$102*VLOOKUP('ESVD - Social Value of Bio'!F6&amp;"1",'ESVD - SUMMARY TABLE'!$E$2:$G$294,3,),0)+IF('Biodiversity Assessment'!$J$103&gt;0,'Biodiversity Assessment'!$J$103*VLOOKUP('ESVD - Social Value of Bio'!F6&amp;"2",'ESVD - SUMMARY TABLE'!$E$2:$G$294,3,),0)+IF('Biodiversity Assessment'!$J$104&gt;0,'Biodiversity Assessment'!$J$104*VLOOKUP('ESVD - Social Value of Bio'!F6&amp;"3",'ESVD - SUMMARY TABLE'!$E$2:$G$294,3,),0)+IF('Biodiversity Assessment'!$J$105&gt;0,'Biodiversity Assessment'!$J$105*VLOOKUP('ESVD - Social Value of Bio'!F6&amp;"4",'ESVD - SUMMARY TABLE'!$E$2:$G$294,3,),0),IF(E6='ESVD - Land Use &amp; Climate Match'!$A$11,IF('Biodiversity Assessment'!$Z$102&gt;0,'Biodiversity Assessment'!$Z$102*VLOOKUP('ESVD - Social Value of Bio'!F6&amp;"1",'ESVD - SUMMARY TABLE'!$E$2:$G$294,3,FALSE),0)+IF('Biodiversity Assessment'!$Z$103&gt;0,'Biodiversity Assessment'!$Z$103*VLOOKUP('ESVD - Social Value of Bio'!F6&amp;"2",'ESVD - SUMMARY TABLE'!$E$2:$G$294,3,FALSE),0)+IF('Biodiversity Assessment'!$Z$104&gt;0,'Biodiversity Assessment'!$Z$104*VLOOKUP('ESVD - Social Value of Bio'!F6&amp;"3",'ESVD - SUMMARY TABLE'!$E$2:$G$294,3,FALSE),0)+IF('Biodiversity Assessment'!$Z$105&gt;0,'Biodiversity Assessment'!$Z$105*VLOOKUP('ESVD - Social Value of Bio'!F6&amp;"4",'ESVD - SUMMARY TABLE'!$E$2:$G$294,3,FALSE),0),IF(E6='ESVD - Land Use &amp; Climate Match'!$A$32,IF('Biodiversity Assessment'!$BD$102&gt;0,'Biodiversity Assessment'!$BD$102*VLOOKUP('ESVD - Social Value of Bio'!F6&amp;"1",'ESVD - SUMMARY TABLE'!$E$2:$G$294,3,FALSE),0)+IF('Biodiversity Assessment'!$BD$103&gt;0,'Biodiversity Assessment'!$BD$103*VLOOKUP('ESVD - Social Value of Bio'!F6&amp;"2",'ESVD - SUMMARY TABLE'!$E$2:$G$294,3,FALSE),0)+IF('Biodiversity Assessment'!$BD$104&gt;0,'Biodiversity Assessment'!$BD$104*VLOOKUP('ESVD - Social Value of Bio'!F6&amp;"3",'ESVD - SUMMARY TABLE'!$E$2:$G$294,3,FALSE),0)+IF('Biodiversity Assessment'!$BD$105&gt;0,'Biodiversity Assessment'!$BD$105*VLOOKUP('ESVD - Social Value of Bio'!F6&amp;"4",'ESVD - SUMMARY TABLE'!$E$2:$G$294,3,FALSE),0)+IF('Biodiversity Assessment'!$BD$106&gt;0,'Biodiversity Assessment'!$BD$106*VLOOKUP('ESVD - Social Value of Bio'!F6&amp;"5",'ESVD - SUMMARY TABLE'!$E$2:$G$294,3,FALSE),0),VLOOKUP('ESVD - Social Value of Bio'!F6&amp;"1",'ESVD - SUMMARY TABLE'!$E$2:$G$294,3,FALSE)))),0)</f>
        <v>0</v>
      </c>
      <c r="M6" s="123">
        <f>IFERROR(IF(E6='ESVD - Land Use &amp; Climate Match'!$A$1,IF(SUM('Biodiversity Assessment'!$O$102:$P$105)=SUM('Biodiversity Assessment'!$J$102:$M$105),IF('Biodiversity Assessment'!$O$102&gt;0,'Biodiversity Assessment'!$O$102*VLOOKUP('ESVD - Social Value of Bio'!F6&amp;"1",'ESVD - SUMMARY TABLE'!$E$2:$G$294,3,),0)+IF('Biodiversity Assessment'!$O$103&gt;0,'Biodiversity Assessment'!$O$103*VLOOKUP('ESVD - Social Value of Bio'!F6&amp;"2",'ESVD - SUMMARY TABLE'!$E$2:$G$294,3,),0)+IF('Biodiversity Assessment'!$O$104&gt;0,'Biodiversity Assessment'!$O$104*VLOOKUP('ESVD - Social Value of Bio'!F6&amp;"3",'ESVD - SUMMARY TABLE'!$E$2:$G$294,3,),0)+IF('Biodiversity Assessment'!$O$105&gt;0,'Biodiversity Assessment'!$O$105*VLOOKUP('ESVD - Social Value of Bio'!F6&amp;"4",'ESVD - SUMMARY TABLE'!$E$2:$G$294,3,),0),0),IF(E6='ESVD - Land Use &amp; Climate Match'!$A$11,IF(SUM('Biodiversity Assessment'!$AH$102:$AN$105)=SUM('Biodiversity Assessment'!$Z$102:$AF$105),IF('Biodiversity Assessment'!$AH$102&gt;0,'Biodiversity Assessment'!$AH$102*VLOOKUP('ESVD - Social Value of Bio'!F6&amp;"1",'ESVD - SUMMARY TABLE'!$E$2:$G$294,3,FALSE),0)+IF('Biodiversity Assessment'!$AH$103&gt;0,'Biodiversity Assessment'!$AH$103*VLOOKUP('ESVD - Social Value of Bio'!F6&amp;"2",'ESVD - SUMMARY TABLE'!$E$2:$G$294,3,FALSE),0)+IF('Biodiversity Assessment'!$AH$104&gt;0,'Biodiversity Assessment'!$AH$104*VLOOKUP('ESVD - Social Value of Bio'!F6&amp;"3",'ESVD - SUMMARY TABLE'!$E$2:$G$294,3,FALSE),0)+IF('Biodiversity Assessment'!$AH$105&gt;0,'Biodiversity Assessment'!$AH$105*VLOOKUP('ESVD - Social Value of Bio'!F6&amp;"4",'ESVD - SUMMARY TABLE'!$E$2:$G$294,3,FALSE),0),0),IF(E6='ESVD - Land Use &amp; Climate Match'!$A$32,IF(SUM('Biodiversity Assessment'!$BF$102:$BF$106)=SUM('Biodiversity Assessment'!$BD$102:$BD$106),IF('Biodiversity Assessment'!$BF$102&gt;0,'Biodiversity Assessment'!$BF$102*VLOOKUP('ESVD - Social Value of Bio'!F6&amp;"1",'ESVD - SUMMARY TABLE'!$E$2:$G$294,3,FALSE),0)+IF('Biodiversity Assessment'!$BF$103&gt;0,'Biodiversity Assessment'!$BF$103*VLOOKUP('ESVD - Social Value of Bio'!F6&amp;"2",'ESVD - SUMMARY TABLE'!$E$2:$G$294,3,FALSE),0)+IF('Biodiversity Assessment'!$BF$104&gt;0,'Biodiversity Assessment'!$BF$104*VLOOKUP('ESVD - Social Value of Bio'!F6&amp;"3",'ESVD - SUMMARY TABLE'!$E$2:$G$294,3,FALSE),0)+IF('Biodiversity Assessment'!$BF$105&gt;0,'Biodiversity Assessment'!$BF$105*VLOOKUP('ESVD - Social Value of Bio'!F6&amp;"4",'ESVD - SUMMARY TABLE'!$E$2:$G$294,3,FALSE),0)+IF('Biodiversity Assessment'!$BF$106&gt;0,'Biodiversity Assessment'!$BF$106*VLOOKUP('ESVD - Social Value of Bio'!F6&amp;"5",'ESVD - SUMMARY TABLE'!$E$2:$G$294,3,FALSE),0),0),VLOOKUP('ESVD - Social Value of Bio'!F6&amp;"1",'ESVD - SUMMARY TABLE'!$E$2:$G$294,3,FALSE)))),0)</f>
        <v>0</v>
      </c>
      <c r="N6" s="123">
        <f>'Biodiversity Assessment'!CR21</f>
        <v>0</v>
      </c>
      <c r="O6" s="124">
        <f>IFERROR(IF(N6&gt;0,N6*'Biodiversity Assessment'!M21,IF(M6&gt;0,M6*'Biodiversity Assessment'!M21,L6*'Biodiversity Assessment'!M21)),0)</f>
        <v>0</v>
      </c>
      <c r="P6" s="456"/>
      <c r="R6" s="108" t="str">
        <f>'Biodiversity Assessment'!O21</f>
        <v>Select land use</v>
      </c>
      <c r="S6" s="109" t="str">
        <f>IF(OR(R6=Data!$E$4,R6=Data!$E$5,R6=Data!$E$6,R6=Data!$E$7),Data!$E$4,IF(OR(R6=Data!$E$9,R6=Data!$E$10,R6=Data!$E$11),Data!$E$9,IF(OR(R6=Data!$E$12,R6=Data!$E$13,R6=Data!$E$14),"Cropland",IF(OR(R6=Data!$E$16,R6=Data!$E$17),"Agroforestry",R6))))</f>
        <v>Select land use</v>
      </c>
      <c r="T6" s="109" t="str">
        <f t="shared" si="1"/>
        <v>Please selectPlease selectSelect land use</v>
      </c>
      <c r="U6" s="122">
        <f>IFERROR(IF(S6='ESVD - Land Use &amp; Climate Match'!$A$1,IF('Biodiversity Assessment'!$J$102&gt;0,'Biodiversity Assessment'!$J$102*VLOOKUP('ESVD - Social Value of Bio'!T6&amp;"1",'ESVD - SUMMARY TABLE'!$E$2:$G$294,3,),0)+IF('Biodiversity Assessment'!$J$103&gt;0,'Biodiversity Assessment'!$J$103*VLOOKUP('ESVD - Social Value of Bio'!T6&amp;"2",'ESVD - SUMMARY TABLE'!$E$2:$G$294,3,),0)+IF('Biodiversity Assessment'!$J$104&gt;0,'Biodiversity Assessment'!$J$104*VLOOKUP('ESVD - Social Value of Bio'!T6&amp;"3",'ESVD - SUMMARY TABLE'!$E$2:$G$294,3,),0)+IF('Biodiversity Assessment'!$J$105&gt;0,'Biodiversity Assessment'!$J$105*VLOOKUP('ESVD - Social Value of Bio'!T6&amp;"4",'ESVD - SUMMARY TABLE'!$E$2:$G$294,3,),0),IF(S6='ESVD - Land Use &amp; Climate Match'!$A$11,IF('Biodiversity Assessment'!$Z$102&gt;0,'Biodiversity Assessment'!$Z$102*VLOOKUP('ESVD - Social Value of Bio'!T6&amp;"1",'ESVD - SUMMARY TABLE'!$E$2:$G$294,3,FALSE),0)+IF('Biodiversity Assessment'!$Z$103&gt;0,'Biodiversity Assessment'!$Z$103*VLOOKUP('ESVD - Social Value of Bio'!T6&amp;"2",'ESVD - SUMMARY TABLE'!$E$2:$G$294,3,FALSE),0)+IF('Biodiversity Assessment'!$Z$104&gt;0,'Biodiversity Assessment'!$Z$104*VLOOKUP('ESVD - Social Value of Bio'!T6&amp;"3",'ESVD - SUMMARY TABLE'!$E$2:$G$294,3,FALSE),0)+IF('Biodiversity Assessment'!$Z$105&gt;0,'Biodiversity Assessment'!$Z$105*VLOOKUP('ESVD - Social Value of Bio'!T6&amp;"4",'ESVD - SUMMARY TABLE'!$E$2:$G$294,3,FALSE),0),IF(S6='ESVD - Land Use &amp; Climate Match'!$A$32,IF('Biodiversity Assessment'!$BD$102&gt;0,'Biodiversity Assessment'!$BD$102*VLOOKUP('ESVD - Social Value of Bio'!T6&amp;"1",'ESVD - SUMMARY TABLE'!$E$2:$G$294,3,FALSE),0)+IF('Biodiversity Assessment'!$BD$103&gt;0,'Biodiversity Assessment'!$BD$103*VLOOKUP('ESVD - Social Value of Bio'!T6&amp;"2",'ESVD - SUMMARY TABLE'!$E$2:$G$294,3,FALSE),0)+IF('Biodiversity Assessment'!$BD$104&gt;0,'Biodiversity Assessment'!$BD$104*VLOOKUP('ESVD - Social Value of Bio'!T6&amp;"3",'ESVD - SUMMARY TABLE'!$E$2:$G$294,3,FALSE),0)+IF('Biodiversity Assessment'!$BD$105&gt;0,'Biodiversity Assessment'!$BD$105*VLOOKUP('ESVD - Social Value of Bio'!T6&amp;"4",'ESVD - SUMMARY TABLE'!$E$2:$G$294,3,FALSE),0)+IF('Biodiversity Assessment'!$BD$106&gt;0,'Biodiversity Assessment'!$BD$106*VLOOKUP('ESVD - Social Value of Bio'!T6&amp;"5",'ESVD - SUMMARY TABLE'!$E$2:$G$294,3,FALSE),0),AVERAGE(IF('Biodiversity Assessment'!$J$102&gt;0,'Biodiversity Assessment'!$J$102*VLOOKUP(CONCATENATE(B6,C6,'ESVD - Land Use &amp; Climate Match'!$A$1)&amp;"1",'ESVD - SUMMARY TABLE'!$E$2:$G$294,3,),0)+IF('Biodiversity Assessment'!$J$103&gt;0,'Biodiversity Assessment'!$J$103*VLOOKUP(CONCATENATE(B6,C6,'ESVD - Land Use &amp; Climate Match'!$A$1)&amp;"2",'ESVD - SUMMARY TABLE'!$E$2:$G$294,3,),0)+IF('Biodiversity Assessment'!$J$104&gt;0,'Biodiversity Assessment'!$J$104*VLOOKUP(CONCATENATE(B6,C6,'ESVD - Land Use &amp; Climate Match'!$A$1)&amp;"3",'ESVD - SUMMARY TABLE'!$E$2:$G$294,3,),0)+IF('Biodiversity Assessment'!$J$105&gt;0,'Biodiversity Assessment'!$J$105*VLOOKUP(CONCATENATE(B6,C6,'ESVD - Land Use &amp; Climate Match'!$A$1)&amp;"4",'ESVD - SUMMARY TABLE'!$E$2:$G$294,3,),0),IF('Biodiversity Assessment'!$Z$102&gt;0,'Biodiversity Assessment'!$Z$102*VLOOKUP(CONCATENATE(B6,C6,'ESVD - Land Use &amp; Climate Match'!$A$11)&amp;"1",'ESVD - SUMMARY TABLE'!$E$2:$G$294,3,FALSE),0)+IF('Biodiversity Assessment'!$Z$103&gt;0,'Biodiversity Assessment'!$Z$103*VLOOKUP(CONCATENATE(B6,C6,'ESVD - Land Use &amp; Climate Match'!$A$11)&amp;"2",'ESVD - SUMMARY TABLE'!$E$2:$G$294,3,FALSE),0)+IF('Biodiversity Assessment'!$Z$104&gt;0,'Biodiversity Assessment'!$Z$104*VLOOKUP(CONCATENATE(B6,C6,'ESVD - Land Use &amp; Climate Match'!$A$11)&amp;"3",'ESVD - SUMMARY TABLE'!$E$2:$G$294,3,FALSE),0)+IF('Biodiversity Assessment'!$Z$105&gt;0,'Biodiversity Assessment'!$Z$105*VLOOKUP(CONCATENATE(B6,C6,'ESVD - Land Use &amp; Climate Match'!$A$11)&amp;"4",'ESVD - SUMMARY TABLE'!$E$2:$G$294,3,FALSE),0),IF('Biodiversity Assessment'!$BD$102&gt;0,'Biodiversity Assessment'!$BD$102*VLOOKUP(CONCATENATE(B6,C6,'ESVD - Land Use &amp; Climate Match'!$A$32)&amp;"1",'ESVD - SUMMARY TABLE'!$E$2:$G$294,3,FALSE),0)+IF('Biodiversity Assessment'!$BD$103&gt;0,'Biodiversity Assessment'!$BD$103*VLOOKUP(CONCATENATE(B6,C6,'ESVD - Land Use &amp; Climate Match'!$A$32)&amp;"2",'ESVD - SUMMARY TABLE'!$E$2:$G$294,3,FALSE),0)+IF('Biodiversity Assessment'!$BD$104&gt;0,'Biodiversity Assessment'!$BD$104*VLOOKUP(CONCATENATE(B6,C6,'ESVD - Land Use &amp; Climate Match'!$A$32)&amp;"3",'ESVD - SUMMARY TABLE'!$E$2:$G$294,3,FALSE),0)+IF('Biodiversity Assessment'!$BD$105&gt;0,'Biodiversity Assessment'!$BD$105*VLOOKUP(CONCATENATE(B6,C6,'ESVD - Land Use &amp; Climate Match'!$A$32)&amp;"4",'ESVD - SUMMARY TABLE'!$E$2:$G$294,3,FALSE),0)+IF('Biodiversity Assessment'!$BD$106&gt;0,'Biodiversity Assessment'!$BD$106*VLOOKUP(CONCATENATE(B6,C6,'ESVD - Land Use &amp; Climate Match'!$A$32)&amp;"5",'ESVD - SUMMARY TABLE'!$E$2:$G$294,3,FALSE)))))),0)</f>
        <v>0</v>
      </c>
      <c r="V6" s="122">
        <f>IFERROR(IF(S6='ESVD - Land Use &amp; Climate Match'!$A$1,IF(SUM('Biodiversity Assessment'!$O$102:$P$105)=SUM('Biodiversity Assessment'!$J$102:$M$105),IF('Biodiversity Assessment'!$O$102&gt;0,'Biodiversity Assessment'!$O$102*VLOOKUP('ESVD - Social Value of Bio'!T6&amp;"1",'ESVD - SUMMARY TABLE'!$E$2:$G$294,3,),0)+IF('Biodiversity Assessment'!$O$103&gt;0,'Biodiversity Assessment'!$O$103*VLOOKUP('ESVD - Social Value of Bio'!T6&amp;"2",'ESVD - SUMMARY TABLE'!$E$2:$G$294,3,),0)+IF('Biodiversity Assessment'!$O$104&gt;0,'Biodiversity Assessment'!$O$104*VLOOKUP('ESVD - Social Value of Bio'!T6&amp;"3",'ESVD - SUMMARY TABLE'!$E$2:$G$294,3,),0)+IF('Biodiversity Assessment'!$O$105&gt;0,'Biodiversity Assessment'!$O$105*VLOOKUP('ESVD - Social Value of Bio'!T6&amp;"4",'ESVD - SUMMARY TABLE'!$E$2:$G$294,3,),0),0),IF(S6='ESVD - Land Use &amp; Climate Match'!$A$11,IF(SUM('Biodiversity Assessment'!$AH$102:$AN$105)=SUM('Biodiversity Assessment'!$Z$102:$AF$105),IF('Biodiversity Assessment'!$AH$102&gt;0,'Biodiversity Assessment'!$AH$102*VLOOKUP('ESVD - Social Value of Bio'!T6&amp;"1",'ESVD - SUMMARY TABLE'!$E$2:$G$294,3,FALSE),0)+IF('Biodiversity Assessment'!$AH$103&gt;0,'Biodiversity Assessment'!$AH$103*VLOOKUP('ESVD - Social Value of Bio'!T6&amp;"2",'ESVD - SUMMARY TABLE'!$E$2:$G$294,3,FALSE),0)+IF('Biodiversity Assessment'!$AH$104&gt;0,'Biodiversity Assessment'!$AH$104*VLOOKUP('ESVD - Social Value of Bio'!T6&amp;"3",'ESVD - SUMMARY TABLE'!$E$2:$G$294,3,FALSE),0)+IF('Biodiversity Assessment'!$AH$105&gt;0,'Biodiversity Assessment'!$AH$105*VLOOKUP('ESVD - Social Value of Bio'!T6&amp;"4",'ESVD - SUMMARY TABLE'!$E$2:$G$294,3,FALSE),0),0),IF(S6='ESVD - Land Use &amp; Climate Match'!$A$32,IF(SUM('Biodiversity Assessment'!$BF$102:$BF$106)=SUM('Biodiversity Assessment'!$BD$102:$BD$106),IF('Biodiversity Assessment'!$BF$102&gt;0,'Biodiversity Assessment'!$BF$102*VLOOKUP('ESVD - Social Value of Bio'!T6&amp;"1",'ESVD - SUMMARY TABLE'!$E$2:$G$294,3,FALSE),0)+IF('Biodiversity Assessment'!$BF$103&gt;0,'Biodiversity Assessment'!$BF$103*VLOOKUP('ESVD - Social Value of Bio'!T6&amp;"2",'ESVD - SUMMARY TABLE'!$E$2:$G$294,3,FALSE),0)+IF('Biodiversity Assessment'!$BF$104&gt;0,'Biodiversity Assessment'!$BF$104*VLOOKUP('ESVD - Social Value of Bio'!T6&amp;"3",'ESVD - SUMMARY TABLE'!$E$2:$G$294,3,FALSE),0)+IF('Biodiversity Assessment'!$BF$105&gt;0,'Biodiversity Assessment'!$BF$105*VLOOKUP('ESVD - Social Value of Bio'!T6&amp;"4",'ESVD - SUMMARY TABLE'!$E$2:$G$294,3,FALSE),0)+IF('Biodiversity Assessment'!$BF$106&gt;0,'Biodiversity Assessment'!$BF$106*VLOOKUP('ESVD - Social Value of Bio'!T6&amp;"5",'ESVD - SUMMARY TABLE'!$E$2:$G$294,3,FALSE),0),0),AVERAGE(IF(SUM('Biodiversity Assessment'!$O$102:$P$105)=SUM('Biodiversity Assessment'!$J$102:$M$105),IF('Biodiversity Assessment'!$O$102&gt;0,'Biodiversity Assessment'!$O$102*VLOOKUP(CONCATENATE($B6,$C6,'ESVD - Land Use &amp; Climate Match'!$A$1)&amp;"1",'ESVD - SUMMARY TABLE'!$E$2:$G$294,3,),0)+IF('Biodiversity Assessment'!$O$103&gt;0,'Biodiversity Assessment'!$O$103*VLOOKUP(CONCATENATE($B6,$C6,'ESVD - Land Use &amp; Climate Match'!$A$1)&amp;"2",'ESVD - SUMMARY TABLE'!$E$2:$G$294,3,),0)+IF('Biodiversity Assessment'!$O$104&gt;0,'Biodiversity Assessment'!$O$104*VLOOKUP(CONCATENATE($B6,$C6,'ESVD - Land Use &amp; Climate Match'!$A$1)&amp;"3",'ESVD - SUMMARY TABLE'!$E$2:$G$294,3,),0)+IF('Biodiversity Assessment'!$O$105&gt;0,'Biodiversity Assessment'!$O$105*VLOOKUP(CONCATENATE($B6,$C6,'ESVD - Land Use &amp; Climate Match'!$A$1)&amp;"4",'ESVD - SUMMARY TABLE'!$E$2:$G$294,3,),0),0),IF(SUM('Biodiversity Assessment'!$AH$102:$AN$105)=SUM('Biodiversity Assessment'!$Z$102:$AF$105),IF('Biodiversity Assessment'!$AH$102&gt;0,'Biodiversity Assessment'!$AH$102*VLOOKUP(CONCATENATE($B6,$C6,'ESVD - Land Use &amp; Climate Match'!$A$11)&amp;"1",'ESVD - SUMMARY TABLE'!$E$2:$G$294,3,FALSE),0)+IF('Biodiversity Assessment'!$AH$103&gt;0,'Biodiversity Assessment'!$AH$103*VLOOKUP(CONCATENATE($B6,$C6,'ESVD - Land Use &amp; Climate Match'!$A$11)&amp;"2",'ESVD - SUMMARY TABLE'!$E$2:$G$294,3,FALSE),0)+IF('Biodiversity Assessment'!$AH$104&gt;0,'Biodiversity Assessment'!$AH$104*VLOOKUP(CONCATENATE($B6,$C6,'ESVD - Land Use &amp; Climate Match'!$A$11)&amp;"3",'ESVD - SUMMARY TABLE'!$E$2:$G$294,3,FALSE),0)+IF('Biodiversity Assessment'!$AH$105&gt;0,'Biodiversity Assessment'!$AH$105*VLOOKUP(CONCATENATE($B6,$C6,'ESVD - Land Use &amp; Climate Match'!$A$11)&amp;"4",'ESVD - SUMMARY TABLE'!$E$2:$G$294,3,FALSE),0),0),IF(SUM('Biodiversity Assessment'!$BF$102:$BF$106)=SUM('Biodiversity Assessment'!$BD$102:$BD$106),IF('Biodiversity Assessment'!$BF$102&gt;0,'Biodiversity Assessment'!$BF$102*VLOOKUP(CONCATENATE($B6,$C6,'ESVD - Land Use &amp; Climate Match'!$A$32)&amp;"1",'ESVD - SUMMARY TABLE'!$E$2:$G$294,3,FALSE),0)+IF('Biodiversity Assessment'!$BF$103&gt;0,'Biodiversity Assessment'!$BF$103*VLOOKUP(CONCATENATE($B6,$C6,'ESVD - Land Use &amp; Climate Match'!$A$32)&amp;"2",'ESVD - SUMMARY TABLE'!$E$2:$G$294,3,FALSE),0)+IF('Biodiversity Assessment'!$BF$104&gt;0,'Biodiversity Assessment'!$BF$104*VLOOKUP(CONCATENATE($B6,$C6,'ESVD - Land Use &amp; Climate Match'!$A$32)&amp;"3",'ESVD - SUMMARY TABLE'!$E$2:$G$294,3,FALSE),0)+IF('Biodiversity Assessment'!$BF$105&gt;0,'Biodiversity Assessment'!$BF$105*VLOOKUP(CONCATENATE($B6,$C6,'ESVD - Land Use &amp; Climate Match'!$A$32)&amp;"4",'ESVD - SUMMARY TABLE'!$E$2:$G$294,3,FALSE),0)+IF('Biodiversity Assessment'!$BF$106&gt;0,'Biodiversity Assessment'!$BF$106*VLOOKUP(CONCATENATE($B6,$C6,'ESVD - Land Use &amp; Climate Match'!$A$32)&amp;"5",'ESVD - SUMMARY TABLE'!$E$2:$G$294,3,FALSE),0),0))))),0)</f>
        <v>0</v>
      </c>
      <c r="W6" s="122">
        <f>'Biodiversity Assessment'!CX21</f>
        <v>0</v>
      </c>
      <c r="X6" s="122">
        <f>IFERROR(IF(W6&gt;0,W6*'Biodiversity Assessment'!$U21,IF(V6&gt;0,V6*'Biodiversity Assessment'!$U21,U6*'Biodiversity Assessment'!$U21)),0)</f>
        <v>0</v>
      </c>
      <c r="Y6" s="454"/>
      <c r="Z6" s="123">
        <f>IFERROR(IF(S6='ESVD - Land Use &amp; Climate Match'!$A$1,IF('Biodiversity Assessment'!$J$102&gt;0,'Biodiversity Assessment'!$J$102*VLOOKUP('ESVD - Social Value of Bio'!T6&amp;"1",'ESVD - SUMMARY TABLE'!$E$2:$G$294,3,),0)+IF('Biodiversity Assessment'!$J$103&gt;0,'Biodiversity Assessment'!$J$103*VLOOKUP('ESVD - Social Value of Bio'!T6&amp;"2",'ESVD - SUMMARY TABLE'!$E$2:$G$294,3,),0)+IF('Biodiversity Assessment'!$J$104&gt;0,'Biodiversity Assessment'!$J$104*VLOOKUP('ESVD - Social Value of Bio'!T6&amp;"3",'ESVD - SUMMARY TABLE'!$E$2:$G$294,3,),0)+IF('Biodiversity Assessment'!$J$105&gt;0,'Biodiversity Assessment'!$J$105*VLOOKUP('ESVD - Social Value of Bio'!T6&amp;"4",'ESVD - SUMMARY TABLE'!$E$2:$G$294,3,),0),IF(S6='ESVD - Land Use &amp; Climate Match'!$A$11,IF('Biodiversity Assessment'!$Z$102&gt;0,'Biodiversity Assessment'!$Z$102*VLOOKUP('ESVD - Social Value of Bio'!T6&amp;"1",'ESVD - SUMMARY TABLE'!$E$2:$G$294,3,FALSE),0)+IF('Biodiversity Assessment'!$Z$103&gt;0,'Biodiversity Assessment'!$Z$103*VLOOKUP('ESVD - Social Value of Bio'!T6&amp;"2",'ESVD - SUMMARY TABLE'!$E$2:$G$294,3,FALSE),0)+IF('Biodiversity Assessment'!$Z$104&gt;0,'Biodiversity Assessment'!$Z$104*VLOOKUP('ESVD - Social Value of Bio'!T6&amp;"3",'ESVD - SUMMARY TABLE'!$E$2:$G$294,3,FALSE),0)+IF('Biodiversity Assessment'!$Z$105&gt;0,'Biodiversity Assessment'!$Z$105*VLOOKUP('ESVD - Social Value of Bio'!T6&amp;"4",'ESVD - SUMMARY TABLE'!$E$2:$G$294,3,FALSE),0),IF(S6='ESVD - Land Use &amp; Climate Match'!$A$32,IF('Biodiversity Assessment'!$BD$102&gt;0,'Biodiversity Assessment'!$BD$102*VLOOKUP('ESVD - Social Value of Bio'!T6&amp;"1",'ESVD - SUMMARY TABLE'!$E$2:$G$294,3,FALSE),0)+IF('Biodiversity Assessment'!$BD$103&gt;0,'Biodiversity Assessment'!$BD$103*VLOOKUP('ESVD - Social Value of Bio'!T6&amp;"2",'ESVD - SUMMARY TABLE'!$E$2:$G$294,3,FALSE),0)+IF('Biodiversity Assessment'!$BD$104&gt;0,'Biodiversity Assessment'!$BD$104*VLOOKUP('ESVD - Social Value of Bio'!T6&amp;"3",'ESVD - SUMMARY TABLE'!$E$2:$G$294,3,FALSE),0)+IF('Biodiversity Assessment'!$BD$105&gt;0,'Biodiversity Assessment'!$BD$105*VLOOKUP('ESVD - Social Value of Bio'!T6&amp;"4",'ESVD - SUMMARY TABLE'!$E$2:$G$294,3,FALSE),0)+IF('Biodiversity Assessment'!$BD$106&gt;0,'Biodiversity Assessment'!$BD$106*VLOOKUP('ESVD - Social Value of Bio'!T6&amp;"5",'ESVD - SUMMARY TABLE'!$E$2:$G$294,3,FALSE),0),VLOOKUP('ESVD - Social Value of Bio'!T6&amp;"1",'ESVD - SUMMARY TABLE'!$E$2:$G$294,3,FALSE)))),0)</f>
        <v>0</v>
      </c>
      <c r="AA6" s="123">
        <f>IFERROR(IF(S6='ESVD - Land Use &amp; Climate Match'!$A$1,IF(SUM('Biodiversity Assessment'!$O$102:$P$105)=SUM('Biodiversity Assessment'!$J$102:$M$105),IF('Biodiversity Assessment'!$O$102&gt;0,'Biodiversity Assessment'!$O$102*VLOOKUP('ESVD - Social Value of Bio'!T6&amp;"1",'ESVD - SUMMARY TABLE'!$E$2:$G$294,3,),0)+IF('Biodiversity Assessment'!$O$103&gt;0,'Biodiversity Assessment'!$O$103*VLOOKUP('ESVD - Social Value of Bio'!T6&amp;"2",'ESVD - SUMMARY TABLE'!$E$2:$G$294,3,),0)+IF('Biodiversity Assessment'!$O$104&gt;0,'Biodiversity Assessment'!$O$104*VLOOKUP('ESVD - Social Value of Bio'!T6&amp;"3",'ESVD - SUMMARY TABLE'!$E$2:$G$294,3,),0)+IF('Biodiversity Assessment'!$O$105&gt;0,'Biodiversity Assessment'!$O$105*VLOOKUP('ESVD - Social Value of Bio'!T6&amp;"4",'ESVD - SUMMARY TABLE'!$E$2:$G$294,3,),0),0),IF(S6='ESVD - Land Use &amp; Climate Match'!$A$11,IF(SUM('Biodiversity Assessment'!$AH$102:$AN$105)=SUM('Biodiversity Assessment'!$Z$102:$AF$105),IF('Biodiversity Assessment'!$AH$102&gt;0,'Biodiversity Assessment'!$AH$102*VLOOKUP('ESVD - Social Value of Bio'!T6&amp;"1",'ESVD - SUMMARY TABLE'!$E$2:$G$294,3,FALSE),0)+IF('Biodiversity Assessment'!$AH$103&gt;0,'Biodiversity Assessment'!$AH$103*VLOOKUP('ESVD - Social Value of Bio'!T6&amp;"2",'ESVD - SUMMARY TABLE'!$E$2:$G$294,3,FALSE),0)+IF('Biodiversity Assessment'!$AH$104&gt;0,'Biodiversity Assessment'!$AH$104*VLOOKUP('ESVD - Social Value of Bio'!T6&amp;"3",'ESVD - SUMMARY TABLE'!$E$2:$G$294,3,FALSE),0)+IF('Biodiversity Assessment'!$AH$105&gt;0,'Biodiversity Assessment'!$AH$105*VLOOKUP('ESVD - Social Value of Bio'!T6&amp;"4",'ESVD - SUMMARY TABLE'!$E$2:$G$294,3,FALSE),0),0),IF(S6='ESVD - Land Use &amp; Climate Match'!$A$32,IF(SUM('Biodiversity Assessment'!$BF$102:$BF$106)=SUM('Biodiversity Assessment'!$BD$102:$BD$106),IF('Biodiversity Assessment'!$BF$102&gt;0,'Biodiversity Assessment'!$BF$102*VLOOKUP('ESVD - Social Value of Bio'!T6&amp;"1",'ESVD - SUMMARY TABLE'!$E$2:$G$294,3,FALSE),0)+IF('Biodiversity Assessment'!$BF$103&gt;0,'Biodiversity Assessment'!$BF$103*VLOOKUP('ESVD - Social Value of Bio'!T6&amp;"2",'ESVD - SUMMARY TABLE'!$E$2:$G$294,3,FALSE),0)+IF('Biodiversity Assessment'!$BF$104&gt;0,'Biodiversity Assessment'!$BF$104*VLOOKUP('ESVD - Social Value of Bio'!T6&amp;"3",'ESVD - SUMMARY TABLE'!$E$2:$G$294,3,FALSE),0)+IF('Biodiversity Assessment'!$BF$105&gt;0,'Biodiversity Assessment'!$BF$105*VLOOKUP('ESVD - Social Value of Bio'!T6&amp;"4",'ESVD - SUMMARY TABLE'!$E$2:$G$294,3,FALSE),0)+IF('Biodiversity Assessment'!$BF$106&gt;0,'Biodiversity Assessment'!$BF$106*VLOOKUP('ESVD - Social Value of Bio'!T6&amp;"5",'ESVD - SUMMARY TABLE'!$E$2:$G$294,3,FALSE),0),0),VLOOKUP('ESVD - Social Value of Bio'!T6&amp;"1",'ESVD - SUMMARY TABLE'!$E$2:$G$294,3,FALSE)))),0)</f>
        <v>0</v>
      </c>
      <c r="AB6" s="123">
        <f>'Biodiversity Assessment'!CX21</f>
        <v>0</v>
      </c>
      <c r="AC6" s="124">
        <f>IFERROR(IF(AB6&gt;0,AB6*'Biodiversity Assessment'!U21,IF(AA6&gt;0,AA6*'Biodiversity Assessment'!U21,Z6*'Biodiversity Assessment'!U21)),0)</f>
        <v>0</v>
      </c>
      <c r="AD6" s="456"/>
      <c r="AG6" s="453"/>
    </row>
    <row r="7" spans="1:33" s="110" customFormat="1" ht="10.5" x14ac:dyDescent="0.25">
      <c r="A7" s="107" t="s">
        <v>212</v>
      </c>
      <c r="B7" s="108" t="str">
        <f>IF(Start!$D$28&gt;1000,CONCATENATE(Start!$D$20," Mountain"),Start!$D$20)</f>
        <v>Please select</v>
      </c>
      <c r="C7" s="108" t="str">
        <f>Start!$D$24</f>
        <v>Please select</v>
      </c>
      <c r="D7" s="109" t="str">
        <f>'Biodiversity Assessment'!G22</f>
        <v>Select land use</v>
      </c>
      <c r="E7" s="109" t="str">
        <f>IF(OR(D7=Data!$E$4,D7=Data!$E$5,D7=Data!$E$6,D7=Data!$E$7),Data!$E$4,IF(OR(D7=Data!$E$9,D7=Data!$E$10,D7=Data!$E$11),Data!$E$9,IF(OR(D7=Data!$E$12,D7=Data!$E$13,D7=Data!$E$14),"Cropland",IF(OR(D7=Data!$E$16,D7=Data!$E$17),"Agroforestry",D7))))</f>
        <v>Select land use</v>
      </c>
      <c r="F7" s="109" t="str">
        <f t="shared" si="0"/>
        <v>Please selectPlease selectSelect land use</v>
      </c>
      <c r="G7" s="122">
        <f>IFERROR(IF(E7='ESVD - Land Use &amp; Climate Match'!$A$1,IF('Biodiversity Assessment'!$J$102&gt;0,'Biodiversity Assessment'!$J$102*VLOOKUP('ESVD - Social Value of Bio'!F7&amp;"1",'ESVD - SUMMARY TABLE'!$E$2:$G$294,3,),0)+IF('Biodiversity Assessment'!$J$103&gt;0,'Biodiversity Assessment'!$J$103*VLOOKUP('ESVD - Social Value of Bio'!F7&amp;"2",'ESVD - SUMMARY TABLE'!$E$2:$G$294,3,),0)+IF('Biodiversity Assessment'!$J$104&gt;0,'Biodiversity Assessment'!$J$104*VLOOKUP('ESVD - Social Value of Bio'!F7&amp;"3",'ESVD - SUMMARY TABLE'!$E$2:$G$294,3,),0)+IF('Biodiversity Assessment'!$J$105&gt;0,'Biodiversity Assessment'!$J$105*VLOOKUP('ESVD - Social Value of Bio'!F7&amp;"4",'ESVD - SUMMARY TABLE'!$E$2:$G$294,3,),0),IF(E7='ESVD - Land Use &amp; Climate Match'!$A$11,IF('Biodiversity Assessment'!$Z$102&gt;0,'Biodiversity Assessment'!$Z$102*VLOOKUP('ESVD - Social Value of Bio'!F7&amp;"1",'ESVD - SUMMARY TABLE'!$E$2:$G$294,3,FALSE),0)+IF('Biodiversity Assessment'!$Z$103&gt;0,'Biodiversity Assessment'!$Z$103*VLOOKUP('ESVD - Social Value of Bio'!F7&amp;"2",'ESVD - SUMMARY TABLE'!$E$2:$G$294,3,FALSE),0)+IF('Biodiversity Assessment'!$Z$104&gt;0,'Biodiversity Assessment'!$Z$104*VLOOKUP('ESVD - Social Value of Bio'!F7&amp;"3",'ESVD - SUMMARY TABLE'!$E$2:$G$294,3,FALSE),0)+IF('Biodiversity Assessment'!$Z$105&gt;0,'Biodiversity Assessment'!$Z$105*VLOOKUP('ESVD - Social Value of Bio'!F7&amp;"4",'ESVD - SUMMARY TABLE'!$E$2:$G$294,3,FALSE),0),IF(E7='ESVD - Land Use &amp; Climate Match'!$A$32,IF('Biodiversity Assessment'!$BD$102&gt;0,'Biodiversity Assessment'!$BD$102*VLOOKUP('ESVD - Social Value of Bio'!F7&amp;"1",'ESVD - SUMMARY TABLE'!$E$2:$G$294,3,FALSE),0)+IF('Biodiversity Assessment'!$BD$103&gt;0,'Biodiversity Assessment'!$BD$103*VLOOKUP('ESVD - Social Value of Bio'!F7&amp;"2",'ESVD - SUMMARY TABLE'!$E$2:$G$294,3,FALSE),0)+IF('Biodiversity Assessment'!$BD$104&gt;0,'Biodiversity Assessment'!$BD$104*VLOOKUP('ESVD - Social Value of Bio'!F7&amp;"3",'ESVD - SUMMARY TABLE'!$E$2:$G$294,3,FALSE),0)+IF('Biodiversity Assessment'!$BD$105&gt;0,'Biodiversity Assessment'!$BD$105*VLOOKUP('ESVD - Social Value of Bio'!F7&amp;"4",'ESVD - SUMMARY TABLE'!$E$2:$G$294,3,FALSE),0)+IF('Biodiversity Assessment'!$BD$106&gt;0,'Biodiversity Assessment'!$BD$106*VLOOKUP('ESVD - Social Value of Bio'!F7&amp;"5",'ESVD - SUMMARY TABLE'!$E$2:$G$294,3,FALSE),0),AVERAGE(IF('Biodiversity Assessment'!$J$102&gt;0,'Biodiversity Assessment'!$J$102*VLOOKUP(CONCATENATE($B7,$C7,'ESVD - Land Use &amp; Climate Match'!$A$1)&amp;"1",'ESVD - SUMMARY TABLE'!$E$2:$G$294,3,),0)+IF('Biodiversity Assessment'!$J$103&gt;0,'Biodiversity Assessment'!$J$103*VLOOKUP(CONCATENATE($B7,$C7,'ESVD - Land Use &amp; Climate Match'!$A$1)&amp;"2",'ESVD - SUMMARY TABLE'!$E$2:$G$294,3,),0)+IF('Biodiversity Assessment'!$J$104&gt;0,'Biodiversity Assessment'!$J$104*VLOOKUP(CONCATENATE($B7,$C7,'ESVD - Land Use &amp; Climate Match'!$A$1)&amp;"3",'ESVD - SUMMARY TABLE'!$E$2:$G$294,3,),0)+IF('Biodiversity Assessment'!$J$105&gt;0,'Biodiversity Assessment'!$J$105*VLOOKUP(CONCATENATE($B7,$C7,'ESVD - Land Use &amp; Climate Match'!$A$1)&amp;"4",'ESVD - SUMMARY TABLE'!$E$2:$G$294,3,),0),IF('Biodiversity Assessment'!$Z$102&gt;0,'Biodiversity Assessment'!$Z$102*VLOOKUP(CONCATENATE($B7,$C7,'ESVD - Land Use &amp; Climate Match'!$A$11)&amp;"1",'ESVD - SUMMARY TABLE'!$E$2:$G$294,3,FALSE),0)+IF('Biodiversity Assessment'!$Z$103&gt;0,'Biodiversity Assessment'!$Z$103*VLOOKUP(CONCATENATE($B7,$C7,'ESVD - Land Use &amp; Climate Match'!$A$11)&amp;"2",'ESVD - SUMMARY TABLE'!$E$2:$G$294,3,FALSE),0)+IF('Biodiversity Assessment'!$Z$104&gt;0,'Biodiversity Assessment'!$Z$104*VLOOKUP(CONCATENATE($B7,$C7,'ESVD - Land Use &amp; Climate Match'!$A$11)&amp;"3",'ESVD - SUMMARY TABLE'!$E$2:$G$294,3,FALSE),0)+IF('Biodiversity Assessment'!$Z$105&gt;0,'Biodiversity Assessment'!$Z$105*VLOOKUP(CONCATENATE($B7,$C7,'ESVD - Land Use &amp; Climate Match'!$A$11)&amp;"4",'ESVD - SUMMARY TABLE'!$E$2:$G$294,3,FALSE),0),IF('Biodiversity Assessment'!$BD$102&gt;0,'Biodiversity Assessment'!$BD$102*VLOOKUP(CONCATENATE($B7,$C7,'ESVD - Land Use &amp; Climate Match'!$A$32)&amp;"1",'ESVD - SUMMARY TABLE'!$E$2:$G$294,3,FALSE),0)+IF('Biodiversity Assessment'!$BD$103&gt;0,'Biodiversity Assessment'!$BD$103*VLOOKUP(CONCATENATE($B7,$C7,'ESVD - Land Use &amp; Climate Match'!$A$32)&amp;"2",'ESVD - SUMMARY TABLE'!$E$2:$G$294,3,FALSE),0)+IF('Biodiversity Assessment'!$BD$104&gt;0,'Biodiversity Assessment'!$BD$104*VLOOKUP(CONCATENATE($B7,$C7,'ESVD - Land Use &amp; Climate Match'!$A$32)&amp;"3",'ESVD - SUMMARY TABLE'!$E$2:$G$294,3,FALSE),0)+IF('Biodiversity Assessment'!$BD$105&gt;0,'Biodiversity Assessment'!$BD$105*VLOOKUP(CONCATENATE($B7,$C7,'ESVD - Land Use &amp; Climate Match'!$A$32)&amp;"4",'ESVD - SUMMARY TABLE'!$E$2:$G$294,3,FALSE),0)+IF('Biodiversity Assessment'!$BD$106&gt;0,'Biodiversity Assessment'!$BD$106*VLOOKUP(CONCATENATE($B7,$C7,'ESVD - Land Use &amp; Climate Match'!$A$32)&amp;"5",'ESVD - SUMMARY TABLE'!$E$2:$G$294,3,FALSE)))))),0)</f>
        <v>0</v>
      </c>
      <c r="H7" s="122">
        <f>IFERROR(IF(E7='ESVD - Land Use &amp; Climate Match'!$A$1,IF(SUM('Biodiversity Assessment'!$O$102:$P$105)=SUM('Biodiversity Assessment'!$J$102:$M$105),IF('Biodiversity Assessment'!$O$102&gt;0,'Biodiversity Assessment'!$O$102*VLOOKUP('ESVD - Social Value of Bio'!F7&amp;"1",'ESVD - SUMMARY TABLE'!$E$2:$G$294,3,),0)+IF('Biodiversity Assessment'!$O$103&gt;0,'Biodiversity Assessment'!$O$103*VLOOKUP('ESVD - Social Value of Bio'!F7&amp;"2",'ESVD - SUMMARY TABLE'!$E$2:$G$294,3,),0)+IF('Biodiversity Assessment'!$O$104&gt;0,'Biodiversity Assessment'!$O$104*VLOOKUP('ESVD - Social Value of Bio'!F7&amp;"3",'ESVD - SUMMARY TABLE'!$E$2:$G$294,3,),0)+IF('Biodiversity Assessment'!$O$105&gt;0,'Biodiversity Assessment'!$O$105*VLOOKUP('ESVD - Social Value of Bio'!F7&amp;"4",'ESVD - SUMMARY TABLE'!$E$2:$G$294,3,),0),0),IF(E7='ESVD - Land Use &amp; Climate Match'!$A$11,IF(SUM('Biodiversity Assessment'!$AH$102:$AN$105)=SUM('Biodiversity Assessment'!$Z$102:$AF$105),IF('Biodiversity Assessment'!$AH$102&gt;0,'Biodiversity Assessment'!$AH$102*VLOOKUP('ESVD - Social Value of Bio'!F7&amp;"1",'ESVD - SUMMARY TABLE'!$E$2:$G$294,3,FALSE),0)+IF('Biodiversity Assessment'!$AH$103&gt;0,'Biodiversity Assessment'!$AH$103*VLOOKUP('ESVD - Social Value of Bio'!F7&amp;"2",'ESVD - SUMMARY TABLE'!$E$2:$G$294,3,FALSE),0)+IF('Biodiversity Assessment'!$AH$104&gt;0,'Biodiversity Assessment'!$AH$104*VLOOKUP('ESVD - Social Value of Bio'!F7&amp;"3",'ESVD - SUMMARY TABLE'!$E$2:$G$294,3,FALSE),0)+IF('Biodiversity Assessment'!$AH$105&gt;0,'Biodiversity Assessment'!$AH$105*VLOOKUP('ESVD - Social Value of Bio'!F7&amp;"4",'ESVD - SUMMARY TABLE'!$E$2:$G$294,3,FALSE),0),0),IF(E7='ESVD - Land Use &amp; Climate Match'!$A$32,IF(SUM('Biodiversity Assessment'!$BF$102:$BF$106)=SUM('Biodiversity Assessment'!$BD$102:$BD$106),IF('Biodiversity Assessment'!$BF$102&gt;0,'Biodiversity Assessment'!$BF$102*VLOOKUP('ESVD - Social Value of Bio'!F7&amp;"1",'ESVD - SUMMARY TABLE'!$E$2:$G$294,3,FALSE),0)+IF('Biodiversity Assessment'!$BF$103&gt;0,'Biodiversity Assessment'!$BF$103*VLOOKUP('ESVD - Social Value of Bio'!F7&amp;"2",'ESVD - SUMMARY TABLE'!$E$2:$G$294,3,FALSE),0)+IF('Biodiversity Assessment'!$BF$104&gt;0,'Biodiversity Assessment'!$BF$104*VLOOKUP('ESVD - Social Value of Bio'!F7&amp;"3",'ESVD - SUMMARY TABLE'!$E$2:$G$294,3,FALSE),0)+IF('Biodiversity Assessment'!$BF$105&gt;0,'Biodiversity Assessment'!$BF$105*VLOOKUP('ESVD - Social Value of Bio'!F7&amp;"4",'ESVD - SUMMARY TABLE'!$E$2:$G$294,3,FALSE),0)+IF('Biodiversity Assessment'!$BF$106&gt;0,'Biodiversity Assessment'!$BF$106*VLOOKUP('ESVD - Social Value of Bio'!F7&amp;"5",'ESVD - SUMMARY TABLE'!$E$2:$G$294,3,FALSE),0),0),AVERAGE(IF(SUM('Biodiversity Assessment'!$O$102:$P$105)=SUM('Biodiversity Assessment'!$J$102:$M$105),IF('Biodiversity Assessment'!$O$102&gt;0,'Biodiversity Assessment'!$O$102*VLOOKUP(CONCATENATE($B7,$C7,'ESVD - Land Use &amp; Climate Match'!$A$1)&amp;"1",'ESVD - SUMMARY TABLE'!$E$2:$G$294,3,),0)+IF('Biodiversity Assessment'!$O$103&gt;0,'Biodiversity Assessment'!$O$103*VLOOKUP(CONCATENATE($B7,$C7,'ESVD - Land Use &amp; Climate Match'!$A$1)&amp;"2",'ESVD - SUMMARY TABLE'!$E$2:$G$294,3,),0)+IF('Biodiversity Assessment'!$O$104&gt;0,'Biodiversity Assessment'!$O$104*VLOOKUP(CONCATENATE($B7,$C7,'ESVD - Land Use &amp; Climate Match'!$A$1)&amp;"3",'ESVD - SUMMARY TABLE'!$E$2:$G$294,3,),0)+IF('Biodiversity Assessment'!$O$105&gt;0,'Biodiversity Assessment'!$O$105*VLOOKUP(CONCATENATE($B7,$C7,'ESVD - Land Use &amp; Climate Match'!$A$1)&amp;"4",'ESVD - SUMMARY TABLE'!$E$2:$G$294,3,),0),0),IF(SUM('Biodiversity Assessment'!$AH$102:$AN$105)=SUM('Biodiversity Assessment'!$Z$102:$AF$105),IF('Biodiversity Assessment'!$AH$102&gt;0,'Biodiversity Assessment'!$AH$102*VLOOKUP(CONCATENATE($B7,$C7,'ESVD - Land Use &amp; Climate Match'!$A$11)&amp;"1",'ESVD - SUMMARY TABLE'!$E$2:$G$294,3,FALSE),0)+IF('Biodiversity Assessment'!$AH$103&gt;0,'Biodiversity Assessment'!$AH$103*VLOOKUP(CONCATENATE($B7,$C7,'ESVD - Land Use &amp; Climate Match'!$A$11)&amp;"2",'ESVD - SUMMARY TABLE'!$E$2:$G$294,3,FALSE),0)+IF('Biodiversity Assessment'!$AH$104&gt;0,'Biodiversity Assessment'!$AH$104*VLOOKUP(CONCATENATE($B7,$C7,'ESVD - Land Use &amp; Climate Match'!$A$11)&amp;"3",'ESVD - SUMMARY TABLE'!$E$2:$G$294,3,FALSE),0)+IF('Biodiversity Assessment'!$AH$105&gt;0,'Biodiversity Assessment'!$AH$105*VLOOKUP(CONCATENATE($B7,$C7,'ESVD - Land Use &amp; Climate Match'!$A$11)&amp;"4",'ESVD - SUMMARY TABLE'!$E$2:$G$294,3,FALSE),0),0),IF(SUM('Biodiversity Assessment'!$BF$102:$BF$106)=SUM('Biodiversity Assessment'!$BD$102:$BD$106),IF('Biodiversity Assessment'!$BF$102&gt;0,'Biodiversity Assessment'!$BF$102*VLOOKUP(CONCATENATE($B7,$C7,'ESVD - Land Use &amp; Climate Match'!$A$32)&amp;"1",'ESVD - SUMMARY TABLE'!$E$2:$G$294,3,FALSE),0)+IF('Biodiversity Assessment'!$BF$103&gt;0,'Biodiversity Assessment'!$BF$103*VLOOKUP(CONCATENATE($B7,$C7,'ESVD - Land Use &amp; Climate Match'!$A$32)&amp;"2",'ESVD - SUMMARY TABLE'!$E$2:$G$294,3,FALSE),0)+IF('Biodiversity Assessment'!$BF$104&gt;0,'Biodiversity Assessment'!$BF$104*VLOOKUP(CONCATENATE($B7,$C7,'ESVD - Land Use &amp; Climate Match'!$A$32)&amp;"3",'ESVD - SUMMARY TABLE'!$E$2:$G$294,3,FALSE),0)+IF('Biodiversity Assessment'!$BF$105&gt;0,'Biodiversity Assessment'!$BF$105*VLOOKUP(CONCATENATE($B7,$C7,'ESVD - Land Use &amp; Climate Match'!$A$32)&amp;"4",'ESVD - SUMMARY TABLE'!$E$2:$G$294,3,FALSE),0)+IF('Biodiversity Assessment'!$BF$106&gt;0,'Biodiversity Assessment'!$BF$106*VLOOKUP(CONCATENATE($B7,$C7,'ESVD - Land Use &amp; Climate Match'!$A$32)&amp;"5",'ESVD - SUMMARY TABLE'!$E$2:$G$294,3,FALSE),0),0))))),0)</f>
        <v>0</v>
      </c>
      <c r="I7" s="122">
        <f>'Biodiversity Assessment'!CR22</f>
        <v>0</v>
      </c>
      <c r="J7" s="122">
        <f>IFERROR(IF(I7&gt;0,I7*'Biodiversity Assessment'!$M22,IF(H7&gt;0,H7*'Biodiversity Assessment'!$M22,G7*'Biodiversity Assessment'!$M22)),0)</f>
        <v>0</v>
      </c>
      <c r="K7" s="454"/>
      <c r="L7" s="123">
        <f>IFERROR(IF(E7='ESVD - Land Use &amp; Climate Match'!$A$1,IF('Biodiversity Assessment'!$J$102&gt;0,'Biodiversity Assessment'!$J$102*VLOOKUP('ESVD - Social Value of Bio'!F7&amp;"1",'ESVD - SUMMARY TABLE'!$E$2:$G$294,3,),0)+IF('Biodiversity Assessment'!$J$103&gt;0,'Biodiversity Assessment'!$J$103*VLOOKUP('ESVD - Social Value of Bio'!F7&amp;"2",'ESVD - SUMMARY TABLE'!$E$2:$G$294,3,),0)+IF('Biodiversity Assessment'!$J$104&gt;0,'Biodiversity Assessment'!$J$104*VLOOKUP('ESVD - Social Value of Bio'!F7&amp;"3",'ESVD - SUMMARY TABLE'!$E$2:$G$294,3,),0)+IF('Biodiversity Assessment'!$J$105&gt;0,'Biodiversity Assessment'!$J$105*VLOOKUP('ESVD - Social Value of Bio'!F7&amp;"4",'ESVD - SUMMARY TABLE'!$E$2:$G$294,3,),0),IF(E7='ESVD - Land Use &amp; Climate Match'!$A$11,IF('Biodiversity Assessment'!$Z$102&gt;0,'Biodiversity Assessment'!$Z$102*VLOOKUP('ESVD - Social Value of Bio'!F7&amp;"1",'ESVD - SUMMARY TABLE'!$E$2:$G$294,3,FALSE),0)+IF('Biodiversity Assessment'!$Z$103&gt;0,'Biodiversity Assessment'!$Z$103*VLOOKUP('ESVD - Social Value of Bio'!F7&amp;"2",'ESVD - SUMMARY TABLE'!$E$2:$G$294,3,FALSE),0)+IF('Biodiversity Assessment'!$Z$104&gt;0,'Biodiversity Assessment'!$Z$104*VLOOKUP('ESVD - Social Value of Bio'!F7&amp;"3",'ESVD - SUMMARY TABLE'!$E$2:$G$294,3,FALSE),0)+IF('Biodiversity Assessment'!$Z$105&gt;0,'Biodiversity Assessment'!$Z$105*VLOOKUP('ESVD - Social Value of Bio'!F7&amp;"4",'ESVD - SUMMARY TABLE'!$E$2:$G$294,3,FALSE),0),IF(E7='ESVD - Land Use &amp; Climate Match'!$A$32,IF('Biodiversity Assessment'!$BD$102&gt;0,'Biodiversity Assessment'!$BD$102*VLOOKUP('ESVD - Social Value of Bio'!F7&amp;"1",'ESVD - SUMMARY TABLE'!$E$2:$G$294,3,FALSE),0)+IF('Biodiversity Assessment'!$BD$103&gt;0,'Biodiversity Assessment'!$BD$103*VLOOKUP('ESVD - Social Value of Bio'!F7&amp;"2",'ESVD - SUMMARY TABLE'!$E$2:$G$294,3,FALSE),0)+IF('Biodiversity Assessment'!$BD$104&gt;0,'Biodiversity Assessment'!$BD$104*VLOOKUP('ESVD - Social Value of Bio'!F7&amp;"3",'ESVD - SUMMARY TABLE'!$E$2:$G$294,3,FALSE),0)+IF('Biodiversity Assessment'!$BD$105&gt;0,'Biodiversity Assessment'!$BD$105*VLOOKUP('ESVD - Social Value of Bio'!F7&amp;"4",'ESVD - SUMMARY TABLE'!$E$2:$G$294,3,FALSE),0)+IF('Biodiversity Assessment'!$BD$106&gt;0,'Biodiversity Assessment'!$BD$106*VLOOKUP('ESVD - Social Value of Bio'!F7&amp;"5",'ESVD - SUMMARY TABLE'!$E$2:$G$294,3,FALSE),0),VLOOKUP('ESVD - Social Value of Bio'!F7&amp;"1",'ESVD - SUMMARY TABLE'!$E$2:$G$294,3,FALSE)))),0)</f>
        <v>0</v>
      </c>
      <c r="M7" s="123">
        <f>IFERROR(IF(E7='ESVD - Land Use &amp; Climate Match'!$A$1,IF(SUM('Biodiversity Assessment'!$O$102:$P$105)=SUM('Biodiversity Assessment'!$J$102:$M$105),IF('Biodiversity Assessment'!$O$102&gt;0,'Biodiversity Assessment'!$O$102*VLOOKUP('ESVD - Social Value of Bio'!F7&amp;"1",'ESVD - SUMMARY TABLE'!$E$2:$G$294,3,),0)+IF('Biodiversity Assessment'!$O$103&gt;0,'Biodiversity Assessment'!$O$103*VLOOKUP('ESVD - Social Value of Bio'!F7&amp;"2",'ESVD - SUMMARY TABLE'!$E$2:$G$294,3,),0)+IF('Biodiversity Assessment'!$O$104&gt;0,'Biodiversity Assessment'!$O$104*VLOOKUP('ESVD - Social Value of Bio'!F7&amp;"3",'ESVD - SUMMARY TABLE'!$E$2:$G$294,3,),0)+IF('Biodiversity Assessment'!$O$105&gt;0,'Biodiversity Assessment'!$O$105*VLOOKUP('ESVD - Social Value of Bio'!F7&amp;"4",'ESVD - SUMMARY TABLE'!$E$2:$G$294,3,),0),0),IF(E7='ESVD - Land Use &amp; Climate Match'!$A$11,IF(SUM('Biodiversity Assessment'!$AH$102:$AN$105)=SUM('Biodiversity Assessment'!$Z$102:$AF$105),IF('Biodiversity Assessment'!$AH$102&gt;0,'Biodiversity Assessment'!$AH$102*VLOOKUP('ESVD - Social Value of Bio'!F7&amp;"1",'ESVD - SUMMARY TABLE'!$E$2:$G$294,3,FALSE),0)+IF('Biodiversity Assessment'!$AH$103&gt;0,'Biodiversity Assessment'!$AH$103*VLOOKUP('ESVD - Social Value of Bio'!F7&amp;"2",'ESVD - SUMMARY TABLE'!$E$2:$G$294,3,FALSE),0)+IF('Biodiversity Assessment'!$AH$104&gt;0,'Biodiversity Assessment'!$AH$104*VLOOKUP('ESVD - Social Value of Bio'!F7&amp;"3",'ESVD - SUMMARY TABLE'!$E$2:$G$294,3,FALSE),0)+IF('Biodiversity Assessment'!$AH$105&gt;0,'Biodiversity Assessment'!$AH$105*VLOOKUP('ESVD - Social Value of Bio'!F7&amp;"4",'ESVD - SUMMARY TABLE'!$E$2:$G$294,3,FALSE),0),0),IF(E7='ESVD - Land Use &amp; Climate Match'!$A$32,IF(SUM('Biodiversity Assessment'!$BF$102:$BF$106)=SUM('Biodiversity Assessment'!$BD$102:$BD$106),IF('Biodiversity Assessment'!$BF$102&gt;0,'Biodiversity Assessment'!$BF$102*VLOOKUP('ESVD - Social Value of Bio'!F7&amp;"1",'ESVD - SUMMARY TABLE'!$E$2:$G$294,3,FALSE),0)+IF('Biodiversity Assessment'!$BF$103&gt;0,'Biodiversity Assessment'!$BF$103*VLOOKUP('ESVD - Social Value of Bio'!F7&amp;"2",'ESVD - SUMMARY TABLE'!$E$2:$G$294,3,FALSE),0)+IF('Biodiversity Assessment'!$BF$104&gt;0,'Biodiversity Assessment'!$BF$104*VLOOKUP('ESVD - Social Value of Bio'!F7&amp;"3",'ESVD - SUMMARY TABLE'!$E$2:$G$294,3,FALSE),0)+IF('Biodiversity Assessment'!$BF$105&gt;0,'Biodiversity Assessment'!$BF$105*VLOOKUP('ESVD - Social Value of Bio'!F7&amp;"4",'ESVD - SUMMARY TABLE'!$E$2:$G$294,3,FALSE),0)+IF('Biodiversity Assessment'!$BF$106&gt;0,'Biodiversity Assessment'!$BF$106*VLOOKUP('ESVD - Social Value of Bio'!F7&amp;"5",'ESVD - SUMMARY TABLE'!$E$2:$G$294,3,FALSE),0),0),VLOOKUP('ESVD - Social Value of Bio'!F7&amp;"1",'ESVD - SUMMARY TABLE'!$E$2:$G$294,3,FALSE)))),0)</f>
        <v>0</v>
      </c>
      <c r="N7" s="123">
        <f>'Biodiversity Assessment'!CR22</f>
        <v>0</v>
      </c>
      <c r="O7" s="124">
        <f>IFERROR(IF(N7&gt;0,N7*'Biodiversity Assessment'!M22,IF(M7&gt;0,M7*'Biodiversity Assessment'!M22,L7*'Biodiversity Assessment'!M22)),0)</f>
        <v>0</v>
      </c>
      <c r="P7" s="456"/>
      <c r="R7" s="108" t="str">
        <f>'Biodiversity Assessment'!O22</f>
        <v>Select land use</v>
      </c>
      <c r="S7" s="109" t="str">
        <f>IF(OR(R7=Data!$E$4,R7=Data!$E$5,R7=Data!$E$6,R7=Data!$E$7),Data!$E$4,IF(OR(R7=Data!$E$9,R7=Data!$E$10,R7=Data!$E$11),Data!$E$9,IF(OR(R7=Data!$E$12,R7=Data!$E$13,R7=Data!$E$14),"Cropland",IF(OR(R7=Data!$E$16,R7=Data!$E$17),"Agroforestry",R7))))</f>
        <v>Select land use</v>
      </c>
      <c r="T7" s="109" t="str">
        <f t="shared" si="1"/>
        <v>Please selectPlease selectSelect land use</v>
      </c>
      <c r="U7" s="122">
        <f>IFERROR(IF(S7='ESVD - Land Use &amp; Climate Match'!$A$1,IF('Biodiversity Assessment'!$J$102&gt;0,'Biodiversity Assessment'!$J$102*VLOOKUP('ESVD - Social Value of Bio'!T7&amp;"1",'ESVD - SUMMARY TABLE'!$E$2:$G$294,3,),0)+IF('Biodiversity Assessment'!$J$103&gt;0,'Biodiversity Assessment'!$J$103*VLOOKUP('ESVD - Social Value of Bio'!T7&amp;"2",'ESVD - SUMMARY TABLE'!$E$2:$G$294,3,),0)+IF('Biodiversity Assessment'!$J$104&gt;0,'Biodiversity Assessment'!$J$104*VLOOKUP('ESVD - Social Value of Bio'!T7&amp;"3",'ESVD - SUMMARY TABLE'!$E$2:$G$294,3,),0)+IF('Biodiversity Assessment'!$J$105&gt;0,'Biodiversity Assessment'!$J$105*VLOOKUP('ESVD - Social Value of Bio'!T7&amp;"4",'ESVD - SUMMARY TABLE'!$E$2:$G$294,3,),0),IF(S7='ESVD - Land Use &amp; Climate Match'!$A$11,IF('Biodiversity Assessment'!$Z$102&gt;0,'Biodiversity Assessment'!$Z$102*VLOOKUP('ESVD - Social Value of Bio'!T7&amp;"1",'ESVD - SUMMARY TABLE'!$E$2:$G$294,3,FALSE),0)+IF('Biodiversity Assessment'!$Z$103&gt;0,'Biodiversity Assessment'!$Z$103*VLOOKUP('ESVD - Social Value of Bio'!T7&amp;"2",'ESVD - SUMMARY TABLE'!$E$2:$G$294,3,FALSE),0)+IF('Biodiversity Assessment'!$Z$104&gt;0,'Biodiversity Assessment'!$Z$104*VLOOKUP('ESVD - Social Value of Bio'!T7&amp;"3",'ESVD - SUMMARY TABLE'!$E$2:$G$294,3,FALSE),0)+IF('Biodiversity Assessment'!$Z$105&gt;0,'Biodiversity Assessment'!$Z$105*VLOOKUP('ESVD - Social Value of Bio'!T7&amp;"4",'ESVD - SUMMARY TABLE'!$E$2:$G$294,3,FALSE),0),IF(S7='ESVD - Land Use &amp; Climate Match'!$A$32,IF('Biodiversity Assessment'!$BD$102&gt;0,'Biodiversity Assessment'!$BD$102*VLOOKUP('ESVD - Social Value of Bio'!T7&amp;"1",'ESVD - SUMMARY TABLE'!$E$2:$G$294,3,FALSE),0)+IF('Biodiversity Assessment'!$BD$103&gt;0,'Biodiversity Assessment'!$BD$103*VLOOKUP('ESVD - Social Value of Bio'!T7&amp;"2",'ESVD - SUMMARY TABLE'!$E$2:$G$294,3,FALSE),0)+IF('Biodiversity Assessment'!$BD$104&gt;0,'Biodiversity Assessment'!$BD$104*VLOOKUP('ESVD - Social Value of Bio'!T7&amp;"3",'ESVD - SUMMARY TABLE'!$E$2:$G$294,3,FALSE),0)+IF('Biodiversity Assessment'!$BD$105&gt;0,'Biodiversity Assessment'!$BD$105*VLOOKUP('ESVD - Social Value of Bio'!T7&amp;"4",'ESVD - SUMMARY TABLE'!$E$2:$G$294,3,FALSE),0)+IF('Biodiversity Assessment'!$BD$106&gt;0,'Biodiversity Assessment'!$BD$106*VLOOKUP('ESVD - Social Value of Bio'!T7&amp;"5",'ESVD - SUMMARY TABLE'!$E$2:$G$294,3,FALSE),0),AVERAGE(IF('Biodiversity Assessment'!$J$102&gt;0,'Biodiversity Assessment'!$J$102*VLOOKUP(CONCATENATE(B7,C7,'ESVD - Land Use &amp; Climate Match'!$A$1)&amp;"1",'ESVD - SUMMARY TABLE'!$E$2:$G$294,3,),0)+IF('Biodiversity Assessment'!$J$103&gt;0,'Biodiversity Assessment'!$J$103*VLOOKUP(CONCATENATE(B7,C7,'ESVD - Land Use &amp; Climate Match'!$A$1)&amp;"2",'ESVD - SUMMARY TABLE'!$E$2:$G$294,3,),0)+IF('Biodiversity Assessment'!$J$104&gt;0,'Biodiversity Assessment'!$J$104*VLOOKUP(CONCATENATE(B7,C7,'ESVD - Land Use &amp; Climate Match'!$A$1)&amp;"3",'ESVD - SUMMARY TABLE'!$E$2:$G$294,3,),0)+IF('Biodiversity Assessment'!$J$105&gt;0,'Biodiversity Assessment'!$J$105*VLOOKUP(CONCATENATE(B7,C7,'ESVD - Land Use &amp; Climate Match'!$A$1)&amp;"4",'ESVD - SUMMARY TABLE'!$E$2:$G$294,3,),0),IF('Biodiversity Assessment'!$Z$102&gt;0,'Biodiversity Assessment'!$Z$102*VLOOKUP(CONCATENATE(B7,C7,'ESVD - Land Use &amp; Climate Match'!$A$11)&amp;"1",'ESVD - SUMMARY TABLE'!$E$2:$G$294,3,FALSE),0)+IF('Biodiversity Assessment'!$Z$103&gt;0,'Biodiversity Assessment'!$Z$103*VLOOKUP(CONCATENATE(B7,C7,'ESVD - Land Use &amp; Climate Match'!$A$11)&amp;"2",'ESVD - SUMMARY TABLE'!$E$2:$G$294,3,FALSE),0)+IF('Biodiversity Assessment'!$Z$104&gt;0,'Biodiversity Assessment'!$Z$104*VLOOKUP(CONCATENATE(B7,C7,'ESVD - Land Use &amp; Climate Match'!$A$11)&amp;"3",'ESVD - SUMMARY TABLE'!$E$2:$G$294,3,FALSE),0)+IF('Biodiversity Assessment'!$Z$105&gt;0,'Biodiversity Assessment'!$Z$105*VLOOKUP(CONCATENATE(B7,C7,'ESVD - Land Use &amp; Climate Match'!$A$11)&amp;"4",'ESVD - SUMMARY TABLE'!$E$2:$G$294,3,FALSE),0),IF('Biodiversity Assessment'!$BD$102&gt;0,'Biodiversity Assessment'!$BD$102*VLOOKUP(CONCATENATE(B7,C7,'ESVD - Land Use &amp; Climate Match'!$A$32)&amp;"1",'ESVD - SUMMARY TABLE'!$E$2:$G$294,3,FALSE),0)+IF('Biodiversity Assessment'!$BD$103&gt;0,'Biodiversity Assessment'!$BD$103*VLOOKUP(CONCATENATE(B7,C7,'ESVD - Land Use &amp; Climate Match'!$A$32)&amp;"2",'ESVD - SUMMARY TABLE'!$E$2:$G$294,3,FALSE),0)+IF('Biodiversity Assessment'!$BD$104&gt;0,'Biodiversity Assessment'!$BD$104*VLOOKUP(CONCATENATE(B7,C7,'ESVD - Land Use &amp; Climate Match'!$A$32)&amp;"3",'ESVD - SUMMARY TABLE'!$E$2:$G$294,3,FALSE),0)+IF('Biodiversity Assessment'!$BD$105&gt;0,'Biodiversity Assessment'!$BD$105*VLOOKUP(CONCATENATE(B7,C7,'ESVD - Land Use &amp; Climate Match'!$A$32)&amp;"4",'ESVD - SUMMARY TABLE'!$E$2:$G$294,3,FALSE),0)+IF('Biodiversity Assessment'!$BD$106&gt;0,'Biodiversity Assessment'!$BD$106*VLOOKUP(CONCATENATE(B7,C7,'ESVD - Land Use &amp; Climate Match'!$A$32)&amp;"5",'ESVD - SUMMARY TABLE'!$E$2:$G$294,3,FALSE)))))),0)</f>
        <v>0</v>
      </c>
      <c r="V7" s="122">
        <f>IFERROR(IF(S7='ESVD - Land Use &amp; Climate Match'!$A$1,IF(SUM('Biodiversity Assessment'!$O$102:$P$105)=SUM('Biodiversity Assessment'!$J$102:$M$105),IF('Biodiversity Assessment'!$O$102&gt;0,'Biodiversity Assessment'!$O$102*VLOOKUP('ESVD - Social Value of Bio'!T7&amp;"1",'ESVD - SUMMARY TABLE'!$E$2:$G$294,3,),0)+IF('Biodiversity Assessment'!$O$103&gt;0,'Biodiversity Assessment'!$O$103*VLOOKUP('ESVD - Social Value of Bio'!T7&amp;"2",'ESVD - SUMMARY TABLE'!$E$2:$G$294,3,),0)+IF('Biodiversity Assessment'!$O$104&gt;0,'Biodiversity Assessment'!$O$104*VLOOKUP('ESVD - Social Value of Bio'!T7&amp;"3",'ESVD - SUMMARY TABLE'!$E$2:$G$294,3,),0)+IF('Biodiversity Assessment'!$O$105&gt;0,'Biodiversity Assessment'!$O$105*VLOOKUP('ESVD - Social Value of Bio'!T7&amp;"4",'ESVD - SUMMARY TABLE'!$E$2:$G$294,3,),0),0),IF(S7='ESVD - Land Use &amp; Climate Match'!$A$11,IF(SUM('Biodiversity Assessment'!$AH$102:$AN$105)=SUM('Biodiversity Assessment'!$Z$102:$AF$105),IF('Biodiversity Assessment'!$AH$102&gt;0,'Biodiversity Assessment'!$AH$102*VLOOKUP('ESVD - Social Value of Bio'!T7&amp;"1",'ESVD - SUMMARY TABLE'!$E$2:$G$294,3,FALSE),0)+IF('Biodiversity Assessment'!$AH$103&gt;0,'Biodiversity Assessment'!$AH$103*VLOOKUP('ESVD - Social Value of Bio'!T7&amp;"2",'ESVD - SUMMARY TABLE'!$E$2:$G$294,3,FALSE),0)+IF('Biodiversity Assessment'!$AH$104&gt;0,'Biodiversity Assessment'!$AH$104*VLOOKUP('ESVD - Social Value of Bio'!T7&amp;"3",'ESVD - SUMMARY TABLE'!$E$2:$G$294,3,FALSE),0)+IF('Biodiversity Assessment'!$AH$105&gt;0,'Biodiversity Assessment'!$AH$105*VLOOKUP('ESVD - Social Value of Bio'!T7&amp;"4",'ESVD - SUMMARY TABLE'!$E$2:$G$294,3,FALSE),0),0),IF(S7='ESVD - Land Use &amp; Climate Match'!$A$32,IF(SUM('Biodiversity Assessment'!$BF$102:$BF$106)=SUM('Biodiversity Assessment'!$BD$102:$BD$106),IF('Biodiversity Assessment'!$BF$102&gt;0,'Biodiversity Assessment'!$BF$102*VLOOKUP('ESVD - Social Value of Bio'!T7&amp;"1",'ESVD - SUMMARY TABLE'!$E$2:$G$294,3,FALSE),0)+IF('Biodiversity Assessment'!$BF$103&gt;0,'Biodiversity Assessment'!$BF$103*VLOOKUP('ESVD - Social Value of Bio'!T7&amp;"2",'ESVD - SUMMARY TABLE'!$E$2:$G$294,3,FALSE),0)+IF('Biodiversity Assessment'!$BF$104&gt;0,'Biodiversity Assessment'!$BF$104*VLOOKUP('ESVD - Social Value of Bio'!T7&amp;"3",'ESVD - SUMMARY TABLE'!$E$2:$G$294,3,FALSE),0)+IF('Biodiversity Assessment'!$BF$105&gt;0,'Biodiversity Assessment'!$BF$105*VLOOKUP('ESVD - Social Value of Bio'!T7&amp;"4",'ESVD - SUMMARY TABLE'!$E$2:$G$294,3,FALSE),0)+IF('Biodiversity Assessment'!$BF$106&gt;0,'Biodiversity Assessment'!$BF$106*VLOOKUP('ESVD - Social Value of Bio'!T7&amp;"5",'ESVD - SUMMARY TABLE'!$E$2:$G$294,3,FALSE),0),0),AVERAGE(IF(SUM('Biodiversity Assessment'!$O$102:$P$105)=SUM('Biodiversity Assessment'!$J$102:$M$105),IF('Biodiversity Assessment'!$O$102&gt;0,'Biodiversity Assessment'!$O$102*VLOOKUP(CONCATENATE($B7,$C7,'ESVD - Land Use &amp; Climate Match'!$A$1)&amp;"1",'ESVD - SUMMARY TABLE'!$E$2:$G$294,3,),0)+IF('Biodiversity Assessment'!$O$103&gt;0,'Biodiversity Assessment'!$O$103*VLOOKUP(CONCATENATE($B7,$C7,'ESVD - Land Use &amp; Climate Match'!$A$1)&amp;"2",'ESVD - SUMMARY TABLE'!$E$2:$G$294,3,),0)+IF('Biodiversity Assessment'!$O$104&gt;0,'Biodiversity Assessment'!$O$104*VLOOKUP(CONCATENATE($B7,$C7,'ESVD - Land Use &amp; Climate Match'!$A$1)&amp;"3",'ESVD - SUMMARY TABLE'!$E$2:$G$294,3,),0)+IF('Biodiversity Assessment'!$O$105&gt;0,'Biodiversity Assessment'!$O$105*VLOOKUP(CONCATENATE($B7,$C7,'ESVD - Land Use &amp; Climate Match'!$A$1)&amp;"4",'ESVD - SUMMARY TABLE'!$E$2:$G$294,3,),0),0),IF(SUM('Biodiversity Assessment'!$AH$102:$AN$105)=SUM('Biodiversity Assessment'!$Z$102:$AF$105),IF('Biodiversity Assessment'!$AH$102&gt;0,'Biodiversity Assessment'!$AH$102*VLOOKUP(CONCATENATE($B7,$C7,'ESVD - Land Use &amp; Climate Match'!$A$11)&amp;"1",'ESVD - SUMMARY TABLE'!$E$2:$G$294,3,FALSE),0)+IF('Biodiversity Assessment'!$AH$103&gt;0,'Biodiversity Assessment'!$AH$103*VLOOKUP(CONCATENATE($B7,$C7,'ESVD - Land Use &amp; Climate Match'!$A$11)&amp;"2",'ESVD - SUMMARY TABLE'!$E$2:$G$294,3,FALSE),0)+IF('Biodiversity Assessment'!$AH$104&gt;0,'Biodiversity Assessment'!$AH$104*VLOOKUP(CONCATENATE($B7,$C7,'ESVD - Land Use &amp; Climate Match'!$A$11)&amp;"3",'ESVD - SUMMARY TABLE'!$E$2:$G$294,3,FALSE),0)+IF('Biodiversity Assessment'!$AH$105&gt;0,'Biodiversity Assessment'!$AH$105*VLOOKUP(CONCATENATE($B7,$C7,'ESVD - Land Use &amp; Climate Match'!$A$11)&amp;"4",'ESVD - SUMMARY TABLE'!$E$2:$G$294,3,FALSE),0),0),IF(SUM('Biodiversity Assessment'!$BF$102:$BF$106)=SUM('Biodiversity Assessment'!$BD$102:$BD$106),IF('Biodiversity Assessment'!$BF$102&gt;0,'Biodiversity Assessment'!$BF$102*VLOOKUP(CONCATENATE($B7,$C7,'ESVD - Land Use &amp; Climate Match'!$A$32)&amp;"1",'ESVD - SUMMARY TABLE'!$E$2:$G$294,3,FALSE),0)+IF('Biodiversity Assessment'!$BF$103&gt;0,'Biodiversity Assessment'!$BF$103*VLOOKUP(CONCATENATE($B7,$C7,'ESVD - Land Use &amp; Climate Match'!$A$32)&amp;"2",'ESVD - SUMMARY TABLE'!$E$2:$G$294,3,FALSE),0)+IF('Biodiversity Assessment'!$BF$104&gt;0,'Biodiversity Assessment'!$BF$104*VLOOKUP(CONCATENATE($B7,$C7,'ESVD - Land Use &amp; Climate Match'!$A$32)&amp;"3",'ESVD - SUMMARY TABLE'!$E$2:$G$294,3,FALSE),0)+IF('Biodiversity Assessment'!$BF$105&gt;0,'Biodiversity Assessment'!$BF$105*VLOOKUP(CONCATENATE($B7,$C7,'ESVD - Land Use &amp; Climate Match'!$A$32)&amp;"4",'ESVD - SUMMARY TABLE'!$E$2:$G$294,3,FALSE),0)+IF('Biodiversity Assessment'!$BF$106&gt;0,'Biodiversity Assessment'!$BF$106*VLOOKUP(CONCATENATE($B7,$C7,'ESVD - Land Use &amp; Climate Match'!$A$32)&amp;"5",'ESVD - SUMMARY TABLE'!$E$2:$G$294,3,FALSE),0),0))))),0)</f>
        <v>0</v>
      </c>
      <c r="W7" s="122">
        <f>'Biodiversity Assessment'!CX22</f>
        <v>0</v>
      </c>
      <c r="X7" s="122">
        <f>IFERROR(IF(W7&gt;0,W7*'Biodiversity Assessment'!$U22,IF(V7&gt;0,V7*'Biodiversity Assessment'!$U22,U7*'Biodiversity Assessment'!$U22)),0)</f>
        <v>0</v>
      </c>
      <c r="Y7" s="454"/>
      <c r="Z7" s="123">
        <f>IFERROR(IF(S7='ESVD - Land Use &amp; Climate Match'!$A$1,IF('Biodiversity Assessment'!$J$102&gt;0,'Biodiversity Assessment'!$J$102*VLOOKUP('ESVD - Social Value of Bio'!T7&amp;"1",'ESVD - SUMMARY TABLE'!$E$2:$G$294,3,),0)+IF('Biodiversity Assessment'!$J$103&gt;0,'Biodiversity Assessment'!$J$103*VLOOKUP('ESVD - Social Value of Bio'!T7&amp;"2",'ESVD - SUMMARY TABLE'!$E$2:$G$294,3,),0)+IF('Biodiversity Assessment'!$J$104&gt;0,'Biodiversity Assessment'!$J$104*VLOOKUP('ESVD - Social Value of Bio'!T7&amp;"3",'ESVD - SUMMARY TABLE'!$E$2:$G$294,3,),0)+IF('Biodiversity Assessment'!$J$105&gt;0,'Biodiversity Assessment'!$J$105*VLOOKUP('ESVD - Social Value of Bio'!T7&amp;"4",'ESVD - SUMMARY TABLE'!$E$2:$G$294,3,),0),IF(S7='ESVD - Land Use &amp; Climate Match'!$A$11,IF('Biodiversity Assessment'!$Z$102&gt;0,'Biodiversity Assessment'!$Z$102*VLOOKUP('ESVD - Social Value of Bio'!T7&amp;"1",'ESVD - SUMMARY TABLE'!$E$2:$G$294,3,FALSE),0)+IF('Biodiversity Assessment'!$Z$103&gt;0,'Biodiversity Assessment'!$Z$103*VLOOKUP('ESVD - Social Value of Bio'!T7&amp;"2",'ESVD - SUMMARY TABLE'!$E$2:$G$294,3,FALSE),0)+IF('Biodiversity Assessment'!$Z$104&gt;0,'Biodiversity Assessment'!$Z$104*VLOOKUP('ESVD - Social Value of Bio'!T7&amp;"3",'ESVD - SUMMARY TABLE'!$E$2:$G$294,3,FALSE),0)+IF('Biodiversity Assessment'!$Z$105&gt;0,'Biodiversity Assessment'!$Z$105*VLOOKUP('ESVD - Social Value of Bio'!T7&amp;"4",'ESVD - SUMMARY TABLE'!$E$2:$G$294,3,FALSE),0),IF(S7='ESVD - Land Use &amp; Climate Match'!$A$32,IF('Biodiversity Assessment'!$BD$102&gt;0,'Biodiversity Assessment'!$BD$102*VLOOKUP('ESVD - Social Value of Bio'!T7&amp;"1",'ESVD - SUMMARY TABLE'!$E$2:$G$294,3,FALSE),0)+IF('Biodiversity Assessment'!$BD$103&gt;0,'Biodiversity Assessment'!$BD$103*VLOOKUP('ESVD - Social Value of Bio'!T7&amp;"2",'ESVD - SUMMARY TABLE'!$E$2:$G$294,3,FALSE),0)+IF('Biodiversity Assessment'!$BD$104&gt;0,'Biodiversity Assessment'!$BD$104*VLOOKUP('ESVD - Social Value of Bio'!T7&amp;"3",'ESVD - SUMMARY TABLE'!$E$2:$G$294,3,FALSE),0)+IF('Biodiversity Assessment'!$BD$105&gt;0,'Biodiversity Assessment'!$BD$105*VLOOKUP('ESVD - Social Value of Bio'!T7&amp;"4",'ESVD - SUMMARY TABLE'!$E$2:$G$294,3,FALSE),0)+IF('Biodiversity Assessment'!$BD$106&gt;0,'Biodiversity Assessment'!$BD$106*VLOOKUP('ESVD - Social Value of Bio'!T7&amp;"5",'ESVD - SUMMARY TABLE'!$E$2:$G$294,3,FALSE),0),VLOOKUP('ESVD - Social Value of Bio'!T7&amp;"1",'ESVD - SUMMARY TABLE'!$E$2:$G$294,3,FALSE)))),0)</f>
        <v>0</v>
      </c>
      <c r="AA7" s="123">
        <f>IFERROR(IF(S7='ESVD - Land Use &amp; Climate Match'!$A$1,IF(SUM('Biodiversity Assessment'!$O$102:$P$105)=SUM('Biodiversity Assessment'!$J$102:$M$105),IF('Biodiversity Assessment'!$O$102&gt;0,'Biodiversity Assessment'!$O$102*VLOOKUP('ESVD - Social Value of Bio'!T7&amp;"1",'ESVD - SUMMARY TABLE'!$E$2:$G$294,3,),0)+IF('Biodiversity Assessment'!$O$103&gt;0,'Biodiversity Assessment'!$O$103*VLOOKUP('ESVD - Social Value of Bio'!T7&amp;"2",'ESVD - SUMMARY TABLE'!$E$2:$G$294,3,),0)+IF('Biodiversity Assessment'!$O$104&gt;0,'Biodiversity Assessment'!$O$104*VLOOKUP('ESVD - Social Value of Bio'!T7&amp;"3",'ESVD - SUMMARY TABLE'!$E$2:$G$294,3,),0)+IF('Biodiversity Assessment'!$O$105&gt;0,'Biodiversity Assessment'!$O$105*VLOOKUP('ESVD - Social Value of Bio'!T7&amp;"4",'ESVD - SUMMARY TABLE'!$E$2:$G$294,3,),0),0),IF(S7='ESVD - Land Use &amp; Climate Match'!$A$11,IF(SUM('Biodiversity Assessment'!$AH$102:$AN$105)=SUM('Biodiversity Assessment'!$Z$102:$AF$105),IF('Biodiversity Assessment'!$AH$102&gt;0,'Biodiversity Assessment'!$AH$102*VLOOKUP('ESVD - Social Value of Bio'!T7&amp;"1",'ESVD - SUMMARY TABLE'!$E$2:$G$294,3,FALSE),0)+IF('Biodiversity Assessment'!$AH$103&gt;0,'Biodiversity Assessment'!$AH$103*VLOOKUP('ESVD - Social Value of Bio'!T7&amp;"2",'ESVD - SUMMARY TABLE'!$E$2:$G$294,3,FALSE),0)+IF('Biodiversity Assessment'!$AH$104&gt;0,'Biodiversity Assessment'!$AH$104*VLOOKUP('ESVD - Social Value of Bio'!T7&amp;"3",'ESVD - SUMMARY TABLE'!$E$2:$G$294,3,FALSE),0)+IF('Biodiversity Assessment'!$AH$105&gt;0,'Biodiversity Assessment'!$AH$105*VLOOKUP('ESVD - Social Value of Bio'!T7&amp;"4",'ESVD - SUMMARY TABLE'!$E$2:$G$294,3,FALSE),0),0),IF(S7='ESVD - Land Use &amp; Climate Match'!$A$32,IF(SUM('Biodiversity Assessment'!$BF$102:$BF$106)=SUM('Biodiversity Assessment'!$BD$102:$BD$106),IF('Biodiversity Assessment'!$BF$102&gt;0,'Biodiversity Assessment'!$BF$102*VLOOKUP('ESVD - Social Value of Bio'!T7&amp;"1",'ESVD - SUMMARY TABLE'!$E$2:$G$294,3,FALSE),0)+IF('Biodiversity Assessment'!$BF$103&gt;0,'Biodiversity Assessment'!$BF$103*VLOOKUP('ESVD - Social Value of Bio'!T7&amp;"2",'ESVD - SUMMARY TABLE'!$E$2:$G$294,3,FALSE),0)+IF('Biodiversity Assessment'!$BF$104&gt;0,'Biodiversity Assessment'!$BF$104*VLOOKUP('ESVD - Social Value of Bio'!T7&amp;"3",'ESVD - SUMMARY TABLE'!$E$2:$G$294,3,FALSE),0)+IF('Biodiversity Assessment'!$BF$105&gt;0,'Biodiversity Assessment'!$BF$105*VLOOKUP('ESVD - Social Value of Bio'!T7&amp;"4",'ESVD - SUMMARY TABLE'!$E$2:$G$294,3,FALSE),0)+IF('Biodiversity Assessment'!$BF$106&gt;0,'Biodiversity Assessment'!$BF$106*VLOOKUP('ESVD - Social Value of Bio'!T7&amp;"5",'ESVD - SUMMARY TABLE'!$E$2:$G$294,3,FALSE),0),0),VLOOKUP('ESVD - Social Value of Bio'!T7&amp;"1",'ESVD - SUMMARY TABLE'!$E$2:$G$294,3,FALSE)))),0)</f>
        <v>0</v>
      </c>
      <c r="AB7" s="123">
        <f>'Biodiversity Assessment'!CX22</f>
        <v>0</v>
      </c>
      <c r="AC7" s="124">
        <f>IFERROR(IF(AB7&gt;0,AB7*'Biodiversity Assessment'!U22,IF(AA7&gt;0,AA7*'Biodiversity Assessment'!U22,Z7*'Biodiversity Assessment'!U22)),0)</f>
        <v>0</v>
      </c>
      <c r="AD7" s="456"/>
      <c r="AG7" s="453"/>
    </row>
    <row r="8" spans="1:33" s="110" customFormat="1" ht="10.5" x14ac:dyDescent="0.25">
      <c r="A8" s="107" t="s">
        <v>213</v>
      </c>
      <c r="B8" s="108" t="str">
        <f>IF(Start!$D$28&gt;1000,CONCATENATE(Start!$D$20," Mountain"),Start!$D$20)</f>
        <v>Please select</v>
      </c>
      <c r="C8" s="108" t="str">
        <f>Start!$D$24</f>
        <v>Please select</v>
      </c>
      <c r="D8" s="109" t="str">
        <f>'Biodiversity Assessment'!G23</f>
        <v>Select land use</v>
      </c>
      <c r="E8" s="109" t="str">
        <f>IF(OR(D8=Data!$E$4,D8=Data!$E$5,D8=Data!$E$6,D8=Data!$E$7),Data!$E$4,IF(OR(D8=Data!$E$9,D8=Data!$E$10,D8=Data!$E$11),Data!$E$9,IF(OR(D8=Data!$E$12,D8=Data!$E$13,D8=Data!$E$14),"Cropland",IF(OR(D8=Data!$E$16,D8=Data!$E$17),"Agroforestry",D8))))</f>
        <v>Select land use</v>
      </c>
      <c r="F8" s="109" t="str">
        <f t="shared" si="0"/>
        <v>Please selectPlease selectSelect land use</v>
      </c>
      <c r="G8" s="122">
        <f>IFERROR(IF(E8='ESVD - Land Use &amp; Climate Match'!$A$1,IF('Biodiversity Assessment'!$J$102&gt;0,'Biodiversity Assessment'!$J$102*VLOOKUP('ESVD - Social Value of Bio'!F8&amp;"1",'ESVD - SUMMARY TABLE'!$E$2:$G$294,3,),0)+IF('Biodiversity Assessment'!$J$103&gt;0,'Biodiversity Assessment'!$J$103*VLOOKUP('ESVD - Social Value of Bio'!F8&amp;"2",'ESVD - SUMMARY TABLE'!$E$2:$G$294,3,),0)+IF('Biodiversity Assessment'!$J$104&gt;0,'Biodiversity Assessment'!$J$104*VLOOKUP('ESVD - Social Value of Bio'!F8&amp;"3",'ESVD - SUMMARY TABLE'!$E$2:$G$294,3,),0)+IF('Biodiversity Assessment'!$J$105&gt;0,'Biodiversity Assessment'!$J$105*VLOOKUP('ESVD - Social Value of Bio'!F8&amp;"4",'ESVD - SUMMARY TABLE'!$E$2:$G$294,3,),0),IF(E8='ESVD - Land Use &amp; Climate Match'!$A$11,IF('Biodiversity Assessment'!$Z$102&gt;0,'Biodiversity Assessment'!$Z$102*VLOOKUP('ESVD - Social Value of Bio'!F8&amp;"1",'ESVD - SUMMARY TABLE'!$E$2:$G$294,3,FALSE),0)+IF('Biodiversity Assessment'!$Z$103&gt;0,'Biodiversity Assessment'!$Z$103*VLOOKUP('ESVD - Social Value of Bio'!F8&amp;"2",'ESVD - SUMMARY TABLE'!$E$2:$G$294,3,FALSE),0)+IF('Biodiversity Assessment'!$Z$104&gt;0,'Biodiversity Assessment'!$Z$104*VLOOKUP('ESVD - Social Value of Bio'!F8&amp;"3",'ESVD - SUMMARY TABLE'!$E$2:$G$294,3,FALSE),0)+IF('Biodiversity Assessment'!$Z$105&gt;0,'Biodiversity Assessment'!$Z$105*VLOOKUP('ESVD - Social Value of Bio'!F8&amp;"4",'ESVD - SUMMARY TABLE'!$E$2:$G$294,3,FALSE),0),IF(E8='ESVD - Land Use &amp; Climate Match'!$A$32,IF('Biodiversity Assessment'!$BD$102&gt;0,'Biodiversity Assessment'!$BD$102*VLOOKUP('ESVD - Social Value of Bio'!F8&amp;"1",'ESVD - SUMMARY TABLE'!$E$2:$G$294,3,FALSE),0)+IF('Biodiversity Assessment'!$BD$103&gt;0,'Biodiversity Assessment'!$BD$103*VLOOKUP('ESVD - Social Value of Bio'!F8&amp;"2",'ESVD - SUMMARY TABLE'!$E$2:$G$294,3,FALSE),0)+IF('Biodiversity Assessment'!$BD$104&gt;0,'Biodiversity Assessment'!$BD$104*VLOOKUP('ESVD - Social Value of Bio'!F8&amp;"3",'ESVD - SUMMARY TABLE'!$E$2:$G$294,3,FALSE),0)+IF('Biodiversity Assessment'!$BD$105&gt;0,'Biodiversity Assessment'!$BD$105*VLOOKUP('ESVD - Social Value of Bio'!F8&amp;"4",'ESVD - SUMMARY TABLE'!$E$2:$G$294,3,FALSE),0)+IF('Biodiversity Assessment'!$BD$106&gt;0,'Biodiversity Assessment'!$BD$106*VLOOKUP('ESVD - Social Value of Bio'!F8&amp;"5",'ESVD - SUMMARY TABLE'!$E$2:$G$294,3,FALSE),0),AVERAGE(IF('Biodiversity Assessment'!$J$102&gt;0,'Biodiversity Assessment'!$J$102*VLOOKUP(CONCATENATE($B8,$C8,'ESVD - Land Use &amp; Climate Match'!$A$1)&amp;"1",'ESVD - SUMMARY TABLE'!$E$2:$G$294,3,),0)+IF('Biodiversity Assessment'!$J$103&gt;0,'Biodiversity Assessment'!$J$103*VLOOKUP(CONCATENATE($B8,$C8,'ESVD - Land Use &amp; Climate Match'!$A$1)&amp;"2",'ESVD - SUMMARY TABLE'!$E$2:$G$294,3,),0)+IF('Biodiversity Assessment'!$J$104&gt;0,'Biodiversity Assessment'!$J$104*VLOOKUP(CONCATENATE($B8,$C8,'ESVD - Land Use &amp; Climate Match'!$A$1)&amp;"3",'ESVD - SUMMARY TABLE'!$E$2:$G$294,3,),0)+IF('Biodiversity Assessment'!$J$105&gt;0,'Biodiversity Assessment'!$J$105*VLOOKUP(CONCATENATE($B8,$C8,'ESVD - Land Use &amp; Climate Match'!$A$1)&amp;"4",'ESVD - SUMMARY TABLE'!$E$2:$G$294,3,),0),IF('Biodiversity Assessment'!$Z$102&gt;0,'Biodiversity Assessment'!$Z$102*VLOOKUP(CONCATENATE($B8,$C8,'ESVD - Land Use &amp; Climate Match'!$A$11)&amp;"1",'ESVD - SUMMARY TABLE'!$E$2:$G$294,3,FALSE),0)+IF('Biodiversity Assessment'!$Z$103&gt;0,'Biodiversity Assessment'!$Z$103*VLOOKUP(CONCATENATE($B8,$C8,'ESVD - Land Use &amp; Climate Match'!$A$11)&amp;"2",'ESVD - SUMMARY TABLE'!$E$2:$G$294,3,FALSE),0)+IF('Biodiversity Assessment'!$Z$104&gt;0,'Biodiversity Assessment'!$Z$104*VLOOKUP(CONCATENATE($B8,$C8,'ESVD - Land Use &amp; Climate Match'!$A$11)&amp;"3",'ESVD - SUMMARY TABLE'!$E$2:$G$294,3,FALSE),0)+IF('Biodiversity Assessment'!$Z$105&gt;0,'Biodiversity Assessment'!$Z$105*VLOOKUP(CONCATENATE($B8,$C8,'ESVD - Land Use &amp; Climate Match'!$A$11)&amp;"4",'ESVD - SUMMARY TABLE'!$E$2:$G$294,3,FALSE),0),IF('Biodiversity Assessment'!$BD$102&gt;0,'Biodiversity Assessment'!$BD$102*VLOOKUP(CONCATENATE($B8,$C8,'ESVD - Land Use &amp; Climate Match'!$A$32)&amp;"1",'ESVD - SUMMARY TABLE'!$E$2:$G$294,3,FALSE),0)+IF('Biodiversity Assessment'!$BD$103&gt;0,'Biodiversity Assessment'!$BD$103*VLOOKUP(CONCATENATE($B8,$C8,'ESVD - Land Use &amp; Climate Match'!$A$32)&amp;"2",'ESVD - SUMMARY TABLE'!$E$2:$G$294,3,FALSE),0)+IF('Biodiversity Assessment'!$BD$104&gt;0,'Biodiversity Assessment'!$BD$104*VLOOKUP(CONCATENATE($B8,$C8,'ESVD - Land Use &amp; Climate Match'!$A$32)&amp;"3",'ESVD - SUMMARY TABLE'!$E$2:$G$294,3,FALSE),0)+IF('Biodiversity Assessment'!$BD$105&gt;0,'Biodiversity Assessment'!$BD$105*VLOOKUP(CONCATENATE($B8,$C8,'ESVD - Land Use &amp; Climate Match'!$A$32)&amp;"4",'ESVD - SUMMARY TABLE'!$E$2:$G$294,3,FALSE),0)+IF('Biodiversity Assessment'!$BD$106&gt;0,'Biodiversity Assessment'!$BD$106*VLOOKUP(CONCATENATE($B8,$C8,'ESVD - Land Use &amp; Climate Match'!$A$32)&amp;"5",'ESVD - SUMMARY TABLE'!$E$2:$G$294,3,FALSE)))))),0)</f>
        <v>0</v>
      </c>
      <c r="H8" s="122">
        <f>IFERROR(IF(E8='ESVD - Land Use &amp; Climate Match'!$A$1,IF(SUM('Biodiversity Assessment'!$O$102:$P$105)=SUM('Biodiversity Assessment'!$J$102:$M$105),IF('Biodiversity Assessment'!$O$102&gt;0,'Biodiversity Assessment'!$O$102*VLOOKUP('ESVD - Social Value of Bio'!F8&amp;"1",'ESVD - SUMMARY TABLE'!$E$2:$G$294,3,),0)+IF('Biodiversity Assessment'!$O$103&gt;0,'Biodiversity Assessment'!$O$103*VLOOKUP('ESVD - Social Value of Bio'!F8&amp;"2",'ESVD - SUMMARY TABLE'!$E$2:$G$294,3,),0)+IF('Biodiversity Assessment'!$O$104&gt;0,'Biodiversity Assessment'!$O$104*VLOOKUP('ESVD - Social Value of Bio'!F8&amp;"3",'ESVD - SUMMARY TABLE'!$E$2:$G$294,3,),0)+IF('Biodiversity Assessment'!$O$105&gt;0,'Biodiversity Assessment'!$O$105*VLOOKUP('ESVD - Social Value of Bio'!F8&amp;"4",'ESVD - SUMMARY TABLE'!$E$2:$G$294,3,),0),0),IF(E8='ESVD - Land Use &amp; Climate Match'!$A$11,IF(SUM('Biodiversity Assessment'!$AH$102:$AN$105)=SUM('Biodiversity Assessment'!$Z$102:$AF$105),IF('Biodiversity Assessment'!$AH$102&gt;0,'Biodiversity Assessment'!$AH$102*VLOOKUP('ESVD - Social Value of Bio'!F8&amp;"1",'ESVD - SUMMARY TABLE'!$E$2:$G$294,3,FALSE),0)+IF('Biodiversity Assessment'!$AH$103&gt;0,'Biodiversity Assessment'!$AH$103*VLOOKUP('ESVD - Social Value of Bio'!F8&amp;"2",'ESVD - SUMMARY TABLE'!$E$2:$G$294,3,FALSE),0)+IF('Biodiversity Assessment'!$AH$104&gt;0,'Biodiversity Assessment'!$AH$104*VLOOKUP('ESVD - Social Value of Bio'!F8&amp;"3",'ESVD - SUMMARY TABLE'!$E$2:$G$294,3,FALSE),0)+IF('Biodiversity Assessment'!$AH$105&gt;0,'Biodiversity Assessment'!$AH$105*VLOOKUP('ESVD - Social Value of Bio'!F8&amp;"4",'ESVD - SUMMARY TABLE'!$E$2:$G$294,3,FALSE),0),0),IF(E8='ESVD - Land Use &amp; Climate Match'!$A$32,IF(SUM('Biodiversity Assessment'!$BF$102:$BF$106)=SUM('Biodiversity Assessment'!$BD$102:$BD$106),IF('Biodiversity Assessment'!$BF$102&gt;0,'Biodiversity Assessment'!$BF$102*VLOOKUP('ESVD - Social Value of Bio'!F8&amp;"1",'ESVD - SUMMARY TABLE'!$E$2:$G$294,3,FALSE),0)+IF('Biodiversity Assessment'!$BF$103&gt;0,'Biodiversity Assessment'!$BF$103*VLOOKUP('ESVD - Social Value of Bio'!F8&amp;"2",'ESVD - SUMMARY TABLE'!$E$2:$G$294,3,FALSE),0)+IF('Biodiversity Assessment'!$BF$104&gt;0,'Biodiversity Assessment'!$BF$104*VLOOKUP('ESVD - Social Value of Bio'!F8&amp;"3",'ESVD - SUMMARY TABLE'!$E$2:$G$294,3,FALSE),0)+IF('Biodiversity Assessment'!$BF$105&gt;0,'Biodiversity Assessment'!$BF$105*VLOOKUP('ESVD - Social Value of Bio'!F8&amp;"4",'ESVD - SUMMARY TABLE'!$E$2:$G$294,3,FALSE),0)+IF('Biodiversity Assessment'!$BF$106&gt;0,'Biodiversity Assessment'!$BF$106*VLOOKUP('ESVD - Social Value of Bio'!F8&amp;"5",'ESVD - SUMMARY TABLE'!$E$2:$G$294,3,FALSE),0),0),AVERAGE(IF(SUM('Biodiversity Assessment'!$O$102:$P$105)=SUM('Biodiversity Assessment'!$J$102:$M$105),IF('Biodiversity Assessment'!$O$102&gt;0,'Biodiversity Assessment'!$O$102*VLOOKUP(CONCATENATE($B8,$C8,'ESVD - Land Use &amp; Climate Match'!$A$1)&amp;"1",'ESVD - SUMMARY TABLE'!$E$2:$G$294,3,),0)+IF('Biodiversity Assessment'!$O$103&gt;0,'Biodiversity Assessment'!$O$103*VLOOKUP(CONCATENATE($B8,$C8,'ESVD - Land Use &amp; Climate Match'!$A$1)&amp;"2",'ESVD - SUMMARY TABLE'!$E$2:$G$294,3,),0)+IF('Biodiversity Assessment'!$O$104&gt;0,'Biodiversity Assessment'!$O$104*VLOOKUP(CONCATENATE($B8,$C8,'ESVD - Land Use &amp; Climate Match'!$A$1)&amp;"3",'ESVD - SUMMARY TABLE'!$E$2:$G$294,3,),0)+IF('Biodiversity Assessment'!$O$105&gt;0,'Biodiversity Assessment'!$O$105*VLOOKUP(CONCATENATE($B8,$C8,'ESVD - Land Use &amp; Climate Match'!$A$1)&amp;"4",'ESVD - SUMMARY TABLE'!$E$2:$G$294,3,),0),0),IF(SUM('Biodiversity Assessment'!$AH$102:$AN$105)=SUM('Biodiversity Assessment'!$Z$102:$AF$105),IF('Biodiversity Assessment'!$AH$102&gt;0,'Biodiversity Assessment'!$AH$102*VLOOKUP(CONCATENATE($B8,$C8,'ESVD - Land Use &amp; Climate Match'!$A$11)&amp;"1",'ESVD - SUMMARY TABLE'!$E$2:$G$294,3,FALSE),0)+IF('Biodiversity Assessment'!$AH$103&gt;0,'Biodiversity Assessment'!$AH$103*VLOOKUP(CONCATENATE($B8,$C8,'ESVD - Land Use &amp; Climate Match'!$A$11)&amp;"2",'ESVD - SUMMARY TABLE'!$E$2:$G$294,3,FALSE),0)+IF('Biodiversity Assessment'!$AH$104&gt;0,'Biodiversity Assessment'!$AH$104*VLOOKUP(CONCATENATE($B8,$C8,'ESVD - Land Use &amp; Climate Match'!$A$11)&amp;"3",'ESVD - SUMMARY TABLE'!$E$2:$G$294,3,FALSE),0)+IF('Biodiversity Assessment'!$AH$105&gt;0,'Biodiversity Assessment'!$AH$105*VLOOKUP(CONCATENATE($B8,$C8,'ESVD - Land Use &amp; Climate Match'!$A$11)&amp;"4",'ESVD - SUMMARY TABLE'!$E$2:$G$294,3,FALSE),0),0),IF(SUM('Biodiversity Assessment'!$BF$102:$BF$106)=SUM('Biodiversity Assessment'!$BD$102:$BD$106),IF('Biodiversity Assessment'!$BF$102&gt;0,'Biodiversity Assessment'!$BF$102*VLOOKUP(CONCATENATE($B8,$C8,'ESVD - Land Use &amp; Climate Match'!$A$32)&amp;"1",'ESVD - SUMMARY TABLE'!$E$2:$G$294,3,FALSE),0)+IF('Biodiversity Assessment'!$BF$103&gt;0,'Biodiversity Assessment'!$BF$103*VLOOKUP(CONCATENATE($B8,$C8,'ESVD - Land Use &amp; Climate Match'!$A$32)&amp;"2",'ESVD - SUMMARY TABLE'!$E$2:$G$294,3,FALSE),0)+IF('Biodiversity Assessment'!$BF$104&gt;0,'Biodiversity Assessment'!$BF$104*VLOOKUP(CONCATENATE($B8,$C8,'ESVD - Land Use &amp; Climate Match'!$A$32)&amp;"3",'ESVD - SUMMARY TABLE'!$E$2:$G$294,3,FALSE),0)+IF('Biodiversity Assessment'!$BF$105&gt;0,'Biodiversity Assessment'!$BF$105*VLOOKUP(CONCATENATE($B8,$C8,'ESVD - Land Use &amp; Climate Match'!$A$32)&amp;"4",'ESVD - SUMMARY TABLE'!$E$2:$G$294,3,FALSE),0)+IF('Biodiversity Assessment'!$BF$106&gt;0,'Biodiversity Assessment'!$BF$106*VLOOKUP(CONCATENATE($B8,$C8,'ESVD - Land Use &amp; Climate Match'!$A$32)&amp;"5",'ESVD - SUMMARY TABLE'!$E$2:$G$294,3,FALSE),0),0))))),0)</f>
        <v>0</v>
      </c>
      <c r="I8" s="122">
        <f>'Biodiversity Assessment'!CR23</f>
        <v>0</v>
      </c>
      <c r="J8" s="122">
        <f>IFERROR(IF(I8&gt;0,I8*'Biodiversity Assessment'!$M23,IF(H8&gt;0,H8*'Biodiversity Assessment'!$M23,G8*'Biodiversity Assessment'!$M23)),0)</f>
        <v>0</v>
      </c>
      <c r="K8" s="454"/>
      <c r="L8" s="123">
        <f>IFERROR(IF(E8='ESVD - Land Use &amp; Climate Match'!$A$1,IF('Biodiversity Assessment'!$J$102&gt;0,'Biodiversity Assessment'!$J$102*VLOOKUP('ESVD - Social Value of Bio'!F8&amp;"1",'ESVD - SUMMARY TABLE'!$E$2:$G$294,3,),0)+IF('Biodiversity Assessment'!$J$103&gt;0,'Biodiversity Assessment'!$J$103*VLOOKUP('ESVD - Social Value of Bio'!F8&amp;"2",'ESVD - SUMMARY TABLE'!$E$2:$G$294,3,),0)+IF('Biodiversity Assessment'!$J$104&gt;0,'Biodiversity Assessment'!$J$104*VLOOKUP('ESVD - Social Value of Bio'!F8&amp;"3",'ESVD - SUMMARY TABLE'!$E$2:$G$294,3,),0)+IF('Biodiversity Assessment'!$J$105&gt;0,'Biodiversity Assessment'!$J$105*VLOOKUP('ESVD - Social Value of Bio'!F8&amp;"4",'ESVD - SUMMARY TABLE'!$E$2:$G$294,3,),0),IF(E8='ESVD - Land Use &amp; Climate Match'!$A$11,IF('Biodiversity Assessment'!$Z$102&gt;0,'Biodiversity Assessment'!$Z$102*VLOOKUP('ESVD - Social Value of Bio'!F8&amp;"1",'ESVD - SUMMARY TABLE'!$E$2:$G$294,3,FALSE),0)+IF('Biodiversity Assessment'!$Z$103&gt;0,'Biodiversity Assessment'!$Z$103*VLOOKUP('ESVD - Social Value of Bio'!F8&amp;"2",'ESVD - SUMMARY TABLE'!$E$2:$G$294,3,FALSE),0)+IF('Biodiversity Assessment'!$Z$104&gt;0,'Biodiversity Assessment'!$Z$104*VLOOKUP('ESVD - Social Value of Bio'!F8&amp;"3",'ESVD - SUMMARY TABLE'!$E$2:$G$294,3,FALSE),0)+IF('Biodiversity Assessment'!$Z$105&gt;0,'Biodiversity Assessment'!$Z$105*VLOOKUP('ESVD - Social Value of Bio'!F8&amp;"4",'ESVD - SUMMARY TABLE'!$E$2:$G$294,3,FALSE),0),IF(E8='ESVD - Land Use &amp; Climate Match'!$A$32,IF('Biodiversity Assessment'!$BD$102&gt;0,'Biodiversity Assessment'!$BD$102*VLOOKUP('ESVD - Social Value of Bio'!F8&amp;"1",'ESVD - SUMMARY TABLE'!$E$2:$G$294,3,FALSE),0)+IF('Biodiversity Assessment'!$BD$103&gt;0,'Biodiversity Assessment'!$BD$103*VLOOKUP('ESVD - Social Value of Bio'!F8&amp;"2",'ESVD - SUMMARY TABLE'!$E$2:$G$294,3,FALSE),0)+IF('Biodiversity Assessment'!$BD$104&gt;0,'Biodiversity Assessment'!$BD$104*VLOOKUP('ESVD - Social Value of Bio'!F8&amp;"3",'ESVD - SUMMARY TABLE'!$E$2:$G$294,3,FALSE),0)+IF('Biodiversity Assessment'!$BD$105&gt;0,'Biodiversity Assessment'!$BD$105*VLOOKUP('ESVD - Social Value of Bio'!F8&amp;"4",'ESVD - SUMMARY TABLE'!$E$2:$G$294,3,FALSE),0)+IF('Biodiversity Assessment'!$BD$106&gt;0,'Biodiversity Assessment'!$BD$106*VLOOKUP('ESVD - Social Value of Bio'!F8&amp;"5",'ESVD - SUMMARY TABLE'!$E$2:$G$294,3,FALSE),0),VLOOKUP('ESVD - Social Value of Bio'!F8&amp;"1",'ESVD - SUMMARY TABLE'!$E$2:$G$294,3,FALSE)))),0)</f>
        <v>0</v>
      </c>
      <c r="M8" s="123">
        <f>IFERROR(IF(E8='ESVD - Land Use &amp; Climate Match'!$A$1,IF(SUM('Biodiversity Assessment'!$O$102:$P$105)=SUM('Biodiversity Assessment'!$J$102:$M$105),IF('Biodiversity Assessment'!$O$102&gt;0,'Biodiversity Assessment'!$O$102*VLOOKUP('ESVD - Social Value of Bio'!F8&amp;"1",'ESVD - SUMMARY TABLE'!$E$2:$G$294,3,),0)+IF('Biodiversity Assessment'!$O$103&gt;0,'Biodiversity Assessment'!$O$103*VLOOKUP('ESVD - Social Value of Bio'!F8&amp;"2",'ESVD - SUMMARY TABLE'!$E$2:$G$294,3,),0)+IF('Biodiversity Assessment'!$O$104&gt;0,'Biodiversity Assessment'!$O$104*VLOOKUP('ESVD - Social Value of Bio'!F8&amp;"3",'ESVD - SUMMARY TABLE'!$E$2:$G$294,3,),0)+IF('Biodiversity Assessment'!$O$105&gt;0,'Biodiversity Assessment'!$O$105*VLOOKUP('ESVD - Social Value of Bio'!F8&amp;"4",'ESVD - SUMMARY TABLE'!$E$2:$G$294,3,),0),0),IF(E8='ESVD - Land Use &amp; Climate Match'!$A$11,IF(SUM('Biodiversity Assessment'!$AH$102:$AN$105)=SUM('Biodiversity Assessment'!$Z$102:$AF$105),IF('Biodiversity Assessment'!$AH$102&gt;0,'Biodiversity Assessment'!$AH$102*VLOOKUP('ESVD - Social Value of Bio'!F8&amp;"1",'ESVD - SUMMARY TABLE'!$E$2:$G$294,3,FALSE),0)+IF('Biodiversity Assessment'!$AH$103&gt;0,'Biodiversity Assessment'!$AH$103*VLOOKUP('ESVD - Social Value of Bio'!F8&amp;"2",'ESVD - SUMMARY TABLE'!$E$2:$G$294,3,FALSE),0)+IF('Biodiversity Assessment'!$AH$104&gt;0,'Biodiversity Assessment'!$AH$104*VLOOKUP('ESVD - Social Value of Bio'!F8&amp;"3",'ESVD - SUMMARY TABLE'!$E$2:$G$294,3,FALSE),0)+IF('Biodiversity Assessment'!$AH$105&gt;0,'Biodiversity Assessment'!$AH$105*VLOOKUP('ESVD - Social Value of Bio'!F8&amp;"4",'ESVD - SUMMARY TABLE'!$E$2:$G$294,3,FALSE),0),0),IF(E8='ESVD - Land Use &amp; Climate Match'!$A$32,IF(SUM('Biodiversity Assessment'!$BF$102:$BF$106)=SUM('Biodiversity Assessment'!$BD$102:$BD$106),IF('Biodiversity Assessment'!$BF$102&gt;0,'Biodiversity Assessment'!$BF$102*VLOOKUP('ESVD - Social Value of Bio'!F8&amp;"1",'ESVD - SUMMARY TABLE'!$E$2:$G$294,3,FALSE),0)+IF('Biodiversity Assessment'!$BF$103&gt;0,'Biodiversity Assessment'!$BF$103*VLOOKUP('ESVD - Social Value of Bio'!F8&amp;"2",'ESVD - SUMMARY TABLE'!$E$2:$G$294,3,FALSE),0)+IF('Biodiversity Assessment'!$BF$104&gt;0,'Biodiversity Assessment'!$BF$104*VLOOKUP('ESVD - Social Value of Bio'!F8&amp;"3",'ESVD - SUMMARY TABLE'!$E$2:$G$294,3,FALSE),0)+IF('Biodiversity Assessment'!$BF$105&gt;0,'Biodiversity Assessment'!$BF$105*VLOOKUP('ESVD - Social Value of Bio'!F8&amp;"4",'ESVD - SUMMARY TABLE'!$E$2:$G$294,3,FALSE),0)+IF('Biodiversity Assessment'!$BF$106&gt;0,'Biodiversity Assessment'!$BF$106*VLOOKUP('ESVD - Social Value of Bio'!F8&amp;"5",'ESVD - SUMMARY TABLE'!$E$2:$G$294,3,FALSE),0),0),VLOOKUP('ESVD - Social Value of Bio'!F8&amp;"1",'ESVD - SUMMARY TABLE'!$E$2:$G$294,3,FALSE)))),0)</f>
        <v>0</v>
      </c>
      <c r="N8" s="123">
        <f>'Biodiversity Assessment'!CR23</f>
        <v>0</v>
      </c>
      <c r="O8" s="124">
        <f>IFERROR(IF(N8&gt;0,N8*'Biodiversity Assessment'!M23,IF(M8&gt;0,M8*'Biodiversity Assessment'!M23,L8*'Biodiversity Assessment'!M23)),0)</f>
        <v>0</v>
      </c>
      <c r="P8" s="456"/>
      <c r="R8" s="108" t="str">
        <f>'Biodiversity Assessment'!O23</f>
        <v>Select land use</v>
      </c>
      <c r="S8" s="109" t="str">
        <f>IF(OR(R8=Data!$E$4,R8=Data!$E$5,R8=Data!$E$6,R8=Data!$E$7),Data!$E$4,IF(OR(R8=Data!$E$9,R8=Data!$E$10,R8=Data!$E$11),Data!$E$9,IF(OR(R8=Data!$E$12,R8=Data!$E$13,R8=Data!$E$14),"Cropland",IF(OR(R8=Data!$E$16,R8=Data!$E$17),"Agroforestry",R8))))</f>
        <v>Select land use</v>
      </c>
      <c r="T8" s="109" t="str">
        <f t="shared" si="1"/>
        <v>Please selectPlease selectSelect land use</v>
      </c>
      <c r="U8" s="122">
        <f>IFERROR(IF(S8='ESVD - Land Use &amp; Climate Match'!$A$1,IF('Biodiversity Assessment'!$J$102&gt;0,'Biodiversity Assessment'!$J$102*VLOOKUP('ESVD - Social Value of Bio'!T8&amp;"1",'ESVD - SUMMARY TABLE'!$E$2:$G$294,3,),0)+IF('Biodiversity Assessment'!$J$103&gt;0,'Biodiversity Assessment'!$J$103*VLOOKUP('ESVD - Social Value of Bio'!T8&amp;"2",'ESVD - SUMMARY TABLE'!$E$2:$G$294,3,),0)+IF('Biodiversity Assessment'!$J$104&gt;0,'Biodiversity Assessment'!$J$104*VLOOKUP('ESVD - Social Value of Bio'!T8&amp;"3",'ESVD - SUMMARY TABLE'!$E$2:$G$294,3,),0)+IF('Biodiversity Assessment'!$J$105&gt;0,'Biodiversity Assessment'!$J$105*VLOOKUP('ESVD - Social Value of Bio'!T8&amp;"4",'ESVD - SUMMARY TABLE'!$E$2:$G$294,3,),0),IF(S8='ESVD - Land Use &amp; Climate Match'!$A$11,IF('Biodiversity Assessment'!$Z$102&gt;0,'Biodiversity Assessment'!$Z$102*VLOOKUP('ESVD - Social Value of Bio'!T8&amp;"1",'ESVD - SUMMARY TABLE'!$E$2:$G$294,3,FALSE),0)+IF('Biodiversity Assessment'!$Z$103&gt;0,'Biodiversity Assessment'!$Z$103*VLOOKUP('ESVD - Social Value of Bio'!T8&amp;"2",'ESVD - SUMMARY TABLE'!$E$2:$G$294,3,FALSE),0)+IF('Biodiversity Assessment'!$Z$104&gt;0,'Biodiversity Assessment'!$Z$104*VLOOKUP('ESVD - Social Value of Bio'!T8&amp;"3",'ESVD - SUMMARY TABLE'!$E$2:$G$294,3,FALSE),0)+IF('Biodiversity Assessment'!$Z$105&gt;0,'Biodiversity Assessment'!$Z$105*VLOOKUP('ESVD - Social Value of Bio'!T8&amp;"4",'ESVD - SUMMARY TABLE'!$E$2:$G$294,3,FALSE),0),IF(S8='ESVD - Land Use &amp; Climate Match'!$A$32,IF('Biodiversity Assessment'!$BD$102&gt;0,'Biodiversity Assessment'!$BD$102*VLOOKUP('ESVD - Social Value of Bio'!T8&amp;"1",'ESVD - SUMMARY TABLE'!$E$2:$G$294,3,FALSE),0)+IF('Biodiversity Assessment'!$BD$103&gt;0,'Biodiversity Assessment'!$BD$103*VLOOKUP('ESVD - Social Value of Bio'!T8&amp;"2",'ESVD - SUMMARY TABLE'!$E$2:$G$294,3,FALSE),0)+IF('Biodiversity Assessment'!$BD$104&gt;0,'Biodiversity Assessment'!$BD$104*VLOOKUP('ESVD - Social Value of Bio'!T8&amp;"3",'ESVD - SUMMARY TABLE'!$E$2:$G$294,3,FALSE),0)+IF('Biodiversity Assessment'!$BD$105&gt;0,'Biodiversity Assessment'!$BD$105*VLOOKUP('ESVD - Social Value of Bio'!T8&amp;"4",'ESVD - SUMMARY TABLE'!$E$2:$G$294,3,FALSE),0)+IF('Biodiversity Assessment'!$BD$106&gt;0,'Biodiversity Assessment'!$BD$106*VLOOKUP('ESVD - Social Value of Bio'!T8&amp;"5",'ESVD - SUMMARY TABLE'!$E$2:$G$294,3,FALSE),0),AVERAGE(IF('Biodiversity Assessment'!$J$102&gt;0,'Biodiversity Assessment'!$J$102*VLOOKUP(CONCATENATE(B8,C8,'ESVD - Land Use &amp; Climate Match'!$A$1)&amp;"1",'ESVD - SUMMARY TABLE'!$E$2:$G$294,3,),0)+IF('Biodiversity Assessment'!$J$103&gt;0,'Biodiversity Assessment'!$J$103*VLOOKUP(CONCATENATE(B8,C8,'ESVD - Land Use &amp; Climate Match'!$A$1)&amp;"2",'ESVD - SUMMARY TABLE'!$E$2:$G$294,3,),0)+IF('Biodiversity Assessment'!$J$104&gt;0,'Biodiversity Assessment'!$J$104*VLOOKUP(CONCATENATE(B8,C8,'ESVD - Land Use &amp; Climate Match'!$A$1)&amp;"3",'ESVD - SUMMARY TABLE'!$E$2:$G$294,3,),0)+IF('Biodiversity Assessment'!$J$105&gt;0,'Biodiversity Assessment'!$J$105*VLOOKUP(CONCATENATE(B8,C8,'ESVD - Land Use &amp; Climate Match'!$A$1)&amp;"4",'ESVD - SUMMARY TABLE'!$E$2:$G$294,3,),0),IF('Biodiversity Assessment'!$Z$102&gt;0,'Biodiversity Assessment'!$Z$102*VLOOKUP(CONCATENATE(B8,C8,'ESVD - Land Use &amp; Climate Match'!$A$11)&amp;"1",'ESVD - SUMMARY TABLE'!$E$2:$G$294,3,FALSE),0)+IF('Biodiversity Assessment'!$Z$103&gt;0,'Biodiversity Assessment'!$Z$103*VLOOKUP(CONCATENATE(B8,C8,'ESVD - Land Use &amp; Climate Match'!$A$11)&amp;"2",'ESVD - SUMMARY TABLE'!$E$2:$G$294,3,FALSE),0)+IF('Biodiversity Assessment'!$Z$104&gt;0,'Biodiversity Assessment'!$Z$104*VLOOKUP(CONCATENATE(B8,C8,'ESVD - Land Use &amp; Climate Match'!$A$11)&amp;"3",'ESVD - SUMMARY TABLE'!$E$2:$G$294,3,FALSE),0)+IF('Biodiversity Assessment'!$Z$105&gt;0,'Biodiversity Assessment'!$Z$105*VLOOKUP(CONCATENATE(B8,C8,'ESVD - Land Use &amp; Climate Match'!$A$11)&amp;"4",'ESVD - SUMMARY TABLE'!$E$2:$G$294,3,FALSE),0),IF('Biodiversity Assessment'!$BD$102&gt;0,'Biodiversity Assessment'!$BD$102*VLOOKUP(CONCATENATE(B8,C8,'ESVD - Land Use &amp; Climate Match'!$A$32)&amp;"1",'ESVD - SUMMARY TABLE'!$E$2:$G$294,3,FALSE),0)+IF('Biodiversity Assessment'!$BD$103&gt;0,'Biodiversity Assessment'!$BD$103*VLOOKUP(CONCATENATE(B8,C8,'ESVD - Land Use &amp; Climate Match'!$A$32)&amp;"2",'ESVD - SUMMARY TABLE'!$E$2:$G$294,3,FALSE),0)+IF('Biodiversity Assessment'!$BD$104&gt;0,'Biodiversity Assessment'!$BD$104*VLOOKUP(CONCATENATE(B8,C8,'ESVD - Land Use &amp; Climate Match'!$A$32)&amp;"3",'ESVD - SUMMARY TABLE'!$E$2:$G$294,3,FALSE),0)+IF('Biodiversity Assessment'!$BD$105&gt;0,'Biodiversity Assessment'!$BD$105*VLOOKUP(CONCATENATE(B8,C8,'ESVD - Land Use &amp; Climate Match'!$A$32)&amp;"4",'ESVD - SUMMARY TABLE'!$E$2:$G$294,3,FALSE),0)+IF('Biodiversity Assessment'!$BD$106&gt;0,'Biodiversity Assessment'!$BD$106*VLOOKUP(CONCATENATE(B8,C8,'ESVD - Land Use &amp; Climate Match'!$A$32)&amp;"5",'ESVD - SUMMARY TABLE'!$E$2:$G$294,3,FALSE)))))),0)</f>
        <v>0</v>
      </c>
      <c r="V8" s="122">
        <f>IFERROR(IF(S8='ESVD - Land Use &amp; Climate Match'!$A$1,IF(SUM('Biodiversity Assessment'!$O$102:$P$105)=SUM('Biodiversity Assessment'!$J$102:$M$105),IF('Biodiversity Assessment'!$O$102&gt;0,'Biodiversity Assessment'!$O$102*VLOOKUP('ESVD - Social Value of Bio'!T8&amp;"1",'ESVD - SUMMARY TABLE'!$E$2:$G$294,3,),0)+IF('Biodiversity Assessment'!$O$103&gt;0,'Biodiversity Assessment'!$O$103*VLOOKUP('ESVD - Social Value of Bio'!T8&amp;"2",'ESVD - SUMMARY TABLE'!$E$2:$G$294,3,),0)+IF('Biodiversity Assessment'!$O$104&gt;0,'Biodiversity Assessment'!$O$104*VLOOKUP('ESVD - Social Value of Bio'!T8&amp;"3",'ESVD - SUMMARY TABLE'!$E$2:$G$294,3,),0)+IF('Biodiversity Assessment'!$O$105&gt;0,'Biodiversity Assessment'!$O$105*VLOOKUP('ESVD - Social Value of Bio'!T8&amp;"4",'ESVD - SUMMARY TABLE'!$E$2:$G$294,3,),0),0),IF(S8='ESVD - Land Use &amp; Climate Match'!$A$11,IF(SUM('Biodiversity Assessment'!$AH$102:$AN$105)=SUM('Biodiversity Assessment'!$Z$102:$AF$105),IF('Biodiversity Assessment'!$AH$102&gt;0,'Biodiversity Assessment'!$AH$102*VLOOKUP('ESVD - Social Value of Bio'!T8&amp;"1",'ESVD - SUMMARY TABLE'!$E$2:$G$294,3,FALSE),0)+IF('Biodiversity Assessment'!$AH$103&gt;0,'Biodiversity Assessment'!$AH$103*VLOOKUP('ESVD - Social Value of Bio'!T8&amp;"2",'ESVD - SUMMARY TABLE'!$E$2:$G$294,3,FALSE),0)+IF('Biodiversity Assessment'!$AH$104&gt;0,'Biodiversity Assessment'!$AH$104*VLOOKUP('ESVD - Social Value of Bio'!T8&amp;"3",'ESVD - SUMMARY TABLE'!$E$2:$G$294,3,FALSE),0)+IF('Biodiversity Assessment'!$AH$105&gt;0,'Biodiversity Assessment'!$AH$105*VLOOKUP('ESVD - Social Value of Bio'!T8&amp;"4",'ESVD - SUMMARY TABLE'!$E$2:$G$294,3,FALSE),0),0),IF(S8='ESVD - Land Use &amp; Climate Match'!$A$32,IF(SUM('Biodiversity Assessment'!$BF$102:$BF$106)=SUM('Biodiversity Assessment'!$BD$102:$BD$106),IF('Biodiversity Assessment'!$BF$102&gt;0,'Biodiversity Assessment'!$BF$102*VLOOKUP('ESVD - Social Value of Bio'!T8&amp;"1",'ESVD - SUMMARY TABLE'!$E$2:$G$294,3,FALSE),0)+IF('Biodiversity Assessment'!$BF$103&gt;0,'Biodiversity Assessment'!$BF$103*VLOOKUP('ESVD - Social Value of Bio'!T8&amp;"2",'ESVD - SUMMARY TABLE'!$E$2:$G$294,3,FALSE),0)+IF('Biodiversity Assessment'!$BF$104&gt;0,'Biodiversity Assessment'!$BF$104*VLOOKUP('ESVD - Social Value of Bio'!T8&amp;"3",'ESVD - SUMMARY TABLE'!$E$2:$G$294,3,FALSE),0)+IF('Biodiversity Assessment'!$BF$105&gt;0,'Biodiversity Assessment'!$BF$105*VLOOKUP('ESVD - Social Value of Bio'!T8&amp;"4",'ESVD - SUMMARY TABLE'!$E$2:$G$294,3,FALSE),0)+IF('Biodiversity Assessment'!$BF$106&gt;0,'Biodiversity Assessment'!$BF$106*VLOOKUP('ESVD - Social Value of Bio'!T8&amp;"5",'ESVD - SUMMARY TABLE'!$E$2:$G$294,3,FALSE),0),0),AVERAGE(IF(SUM('Biodiversity Assessment'!$O$102:$P$105)=SUM('Biodiversity Assessment'!$J$102:$M$105),IF('Biodiversity Assessment'!$O$102&gt;0,'Biodiversity Assessment'!$O$102*VLOOKUP(CONCATENATE($B8,$C8,'ESVD - Land Use &amp; Climate Match'!$A$1)&amp;"1",'ESVD - SUMMARY TABLE'!$E$2:$G$294,3,),0)+IF('Biodiversity Assessment'!$O$103&gt;0,'Biodiversity Assessment'!$O$103*VLOOKUP(CONCATENATE($B8,$C8,'ESVD - Land Use &amp; Climate Match'!$A$1)&amp;"2",'ESVD - SUMMARY TABLE'!$E$2:$G$294,3,),0)+IF('Biodiversity Assessment'!$O$104&gt;0,'Biodiversity Assessment'!$O$104*VLOOKUP(CONCATENATE($B8,$C8,'ESVD - Land Use &amp; Climate Match'!$A$1)&amp;"3",'ESVD - SUMMARY TABLE'!$E$2:$G$294,3,),0)+IF('Biodiversity Assessment'!$O$105&gt;0,'Biodiversity Assessment'!$O$105*VLOOKUP(CONCATENATE($B8,$C8,'ESVD - Land Use &amp; Climate Match'!$A$1)&amp;"4",'ESVD - SUMMARY TABLE'!$E$2:$G$294,3,),0),0),IF(SUM('Biodiversity Assessment'!$AH$102:$AN$105)=SUM('Biodiversity Assessment'!$Z$102:$AF$105),IF('Biodiversity Assessment'!$AH$102&gt;0,'Biodiversity Assessment'!$AH$102*VLOOKUP(CONCATENATE($B8,$C8,'ESVD - Land Use &amp; Climate Match'!$A$11)&amp;"1",'ESVD - SUMMARY TABLE'!$E$2:$G$294,3,FALSE),0)+IF('Biodiversity Assessment'!$AH$103&gt;0,'Biodiversity Assessment'!$AH$103*VLOOKUP(CONCATENATE($B8,$C8,'ESVD - Land Use &amp; Climate Match'!$A$11)&amp;"2",'ESVD - SUMMARY TABLE'!$E$2:$G$294,3,FALSE),0)+IF('Biodiversity Assessment'!$AH$104&gt;0,'Biodiversity Assessment'!$AH$104*VLOOKUP(CONCATENATE($B8,$C8,'ESVD - Land Use &amp; Climate Match'!$A$11)&amp;"3",'ESVD - SUMMARY TABLE'!$E$2:$G$294,3,FALSE),0)+IF('Biodiversity Assessment'!$AH$105&gt;0,'Biodiversity Assessment'!$AH$105*VLOOKUP(CONCATENATE($B8,$C8,'ESVD - Land Use &amp; Climate Match'!$A$11)&amp;"4",'ESVD - SUMMARY TABLE'!$E$2:$G$294,3,FALSE),0),0),IF(SUM('Biodiversity Assessment'!$BF$102:$BF$106)=SUM('Biodiversity Assessment'!$BD$102:$BD$106),IF('Biodiversity Assessment'!$BF$102&gt;0,'Biodiversity Assessment'!$BF$102*VLOOKUP(CONCATENATE($B8,$C8,'ESVD - Land Use &amp; Climate Match'!$A$32)&amp;"1",'ESVD - SUMMARY TABLE'!$E$2:$G$294,3,FALSE),0)+IF('Biodiversity Assessment'!$BF$103&gt;0,'Biodiversity Assessment'!$BF$103*VLOOKUP(CONCATENATE($B8,$C8,'ESVD - Land Use &amp; Climate Match'!$A$32)&amp;"2",'ESVD - SUMMARY TABLE'!$E$2:$G$294,3,FALSE),0)+IF('Biodiversity Assessment'!$BF$104&gt;0,'Biodiversity Assessment'!$BF$104*VLOOKUP(CONCATENATE($B8,$C8,'ESVD - Land Use &amp; Climate Match'!$A$32)&amp;"3",'ESVD - SUMMARY TABLE'!$E$2:$G$294,3,FALSE),0)+IF('Biodiversity Assessment'!$BF$105&gt;0,'Biodiversity Assessment'!$BF$105*VLOOKUP(CONCATENATE($B8,$C8,'ESVD - Land Use &amp; Climate Match'!$A$32)&amp;"4",'ESVD - SUMMARY TABLE'!$E$2:$G$294,3,FALSE),0)+IF('Biodiversity Assessment'!$BF$106&gt;0,'Biodiversity Assessment'!$BF$106*VLOOKUP(CONCATENATE($B8,$C8,'ESVD - Land Use &amp; Climate Match'!$A$32)&amp;"5",'ESVD - SUMMARY TABLE'!$E$2:$G$294,3,FALSE),0),0))))),0)</f>
        <v>0</v>
      </c>
      <c r="W8" s="122">
        <f>'Biodiversity Assessment'!CX23</f>
        <v>0</v>
      </c>
      <c r="X8" s="122">
        <f>IFERROR(IF(W8&gt;0,W8*'Biodiversity Assessment'!$U23,IF(V8&gt;0,V8*'Biodiversity Assessment'!$U23,U8*'Biodiversity Assessment'!$U23)),0)</f>
        <v>0</v>
      </c>
      <c r="Y8" s="454"/>
      <c r="Z8" s="123">
        <f>IFERROR(IF(S8='ESVD - Land Use &amp; Climate Match'!$A$1,IF('Biodiversity Assessment'!$J$102&gt;0,'Biodiversity Assessment'!$J$102*VLOOKUP('ESVD - Social Value of Bio'!T8&amp;"1",'ESVD - SUMMARY TABLE'!$E$2:$G$294,3,),0)+IF('Biodiversity Assessment'!$J$103&gt;0,'Biodiversity Assessment'!$J$103*VLOOKUP('ESVD - Social Value of Bio'!T8&amp;"2",'ESVD - SUMMARY TABLE'!$E$2:$G$294,3,),0)+IF('Biodiversity Assessment'!$J$104&gt;0,'Biodiversity Assessment'!$J$104*VLOOKUP('ESVD - Social Value of Bio'!T8&amp;"3",'ESVD - SUMMARY TABLE'!$E$2:$G$294,3,),0)+IF('Biodiversity Assessment'!$J$105&gt;0,'Biodiversity Assessment'!$J$105*VLOOKUP('ESVD - Social Value of Bio'!T8&amp;"4",'ESVD - SUMMARY TABLE'!$E$2:$G$294,3,),0),IF(S8='ESVD - Land Use &amp; Climate Match'!$A$11,IF('Biodiversity Assessment'!$Z$102&gt;0,'Biodiversity Assessment'!$Z$102*VLOOKUP('ESVD - Social Value of Bio'!T8&amp;"1",'ESVD - SUMMARY TABLE'!$E$2:$G$294,3,FALSE),0)+IF('Biodiversity Assessment'!$Z$103&gt;0,'Biodiversity Assessment'!$Z$103*VLOOKUP('ESVD - Social Value of Bio'!T8&amp;"2",'ESVD - SUMMARY TABLE'!$E$2:$G$294,3,FALSE),0)+IF('Biodiversity Assessment'!$Z$104&gt;0,'Biodiversity Assessment'!$Z$104*VLOOKUP('ESVD - Social Value of Bio'!T8&amp;"3",'ESVD - SUMMARY TABLE'!$E$2:$G$294,3,FALSE),0)+IF('Biodiversity Assessment'!$Z$105&gt;0,'Biodiversity Assessment'!$Z$105*VLOOKUP('ESVD - Social Value of Bio'!T8&amp;"4",'ESVD - SUMMARY TABLE'!$E$2:$G$294,3,FALSE),0),IF(S8='ESVD - Land Use &amp; Climate Match'!$A$32,IF('Biodiversity Assessment'!$BD$102&gt;0,'Biodiversity Assessment'!$BD$102*VLOOKUP('ESVD - Social Value of Bio'!T8&amp;"1",'ESVD - SUMMARY TABLE'!$E$2:$G$294,3,FALSE),0)+IF('Biodiversity Assessment'!$BD$103&gt;0,'Biodiversity Assessment'!$BD$103*VLOOKUP('ESVD - Social Value of Bio'!T8&amp;"2",'ESVD - SUMMARY TABLE'!$E$2:$G$294,3,FALSE),0)+IF('Biodiversity Assessment'!$BD$104&gt;0,'Biodiversity Assessment'!$BD$104*VLOOKUP('ESVD - Social Value of Bio'!T8&amp;"3",'ESVD - SUMMARY TABLE'!$E$2:$G$294,3,FALSE),0)+IF('Biodiversity Assessment'!$BD$105&gt;0,'Biodiversity Assessment'!$BD$105*VLOOKUP('ESVD - Social Value of Bio'!T8&amp;"4",'ESVD - SUMMARY TABLE'!$E$2:$G$294,3,FALSE),0)+IF('Biodiversity Assessment'!$BD$106&gt;0,'Biodiversity Assessment'!$BD$106*VLOOKUP('ESVD - Social Value of Bio'!T8&amp;"5",'ESVD - SUMMARY TABLE'!$E$2:$G$294,3,FALSE),0),VLOOKUP('ESVD - Social Value of Bio'!T8&amp;"1",'ESVD - SUMMARY TABLE'!$E$2:$G$294,3,FALSE)))),0)</f>
        <v>0</v>
      </c>
      <c r="AA8" s="123">
        <f>IFERROR(IF(S8='ESVD - Land Use &amp; Climate Match'!$A$1,IF(SUM('Biodiversity Assessment'!$O$102:$P$105)=SUM('Biodiversity Assessment'!$J$102:$M$105),IF('Biodiversity Assessment'!$O$102&gt;0,'Biodiversity Assessment'!$O$102*VLOOKUP('ESVD - Social Value of Bio'!T8&amp;"1",'ESVD - SUMMARY TABLE'!$E$2:$G$294,3,),0)+IF('Biodiversity Assessment'!$O$103&gt;0,'Biodiversity Assessment'!$O$103*VLOOKUP('ESVD - Social Value of Bio'!T8&amp;"2",'ESVD - SUMMARY TABLE'!$E$2:$G$294,3,),0)+IF('Biodiversity Assessment'!$O$104&gt;0,'Biodiversity Assessment'!$O$104*VLOOKUP('ESVD - Social Value of Bio'!T8&amp;"3",'ESVD - SUMMARY TABLE'!$E$2:$G$294,3,),0)+IF('Biodiversity Assessment'!$O$105&gt;0,'Biodiversity Assessment'!$O$105*VLOOKUP('ESVD - Social Value of Bio'!T8&amp;"4",'ESVD - SUMMARY TABLE'!$E$2:$G$294,3,),0),0),IF(S8='ESVD - Land Use &amp; Climate Match'!$A$11,IF(SUM('Biodiversity Assessment'!$AH$102:$AN$105)=SUM('Biodiversity Assessment'!$Z$102:$AF$105),IF('Biodiversity Assessment'!$AH$102&gt;0,'Biodiversity Assessment'!$AH$102*VLOOKUP('ESVD - Social Value of Bio'!T8&amp;"1",'ESVD - SUMMARY TABLE'!$E$2:$G$294,3,FALSE),0)+IF('Biodiversity Assessment'!$AH$103&gt;0,'Biodiversity Assessment'!$AH$103*VLOOKUP('ESVD - Social Value of Bio'!T8&amp;"2",'ESVD - SUMMARY TABLE'!$E$2:$G$294,3,FALSE),0)+IF('Biodiversity Assessment'!$AH$104&gt;0,'Biodiversity Assessment'!$AH$104*VLOOKUP('ESVD - Social Value of Bio'!T8&amp;"3",'ESVD - SUMMARY TABLE'!$E$2:$G$294,3,FALSE),0)+IF('Biodiversity Assessment'!$AH$105&gt;0,'Biodiversity Assessment'!$AH$105*VLOOKUP('ESVD - Social Value of Bio'!T8&amp;"4",'ESVD - SUMMARY TABLE'!$E$2:$G$294,3,FALSE),0),0),IF(S8='ESVD - Land Use &amp; Climate Match'!$A$32,IF(SUM('Biodiversity Assessment'!$BF$102:$BF$106)=SUM('Biodiversity Assessment'!$BD$102:$BD$106),IF('Biodiversity Assessment'!$BF$102&gt;0,'Biodiversity Assessment'!$BF$102*VLOOKUP('ESVD - Social Value of Bio'!T8&amp;"1",'ESVD - SUMMARY TABLE'!$E$2:$G$294,3,FALSE),0)+IF('Biodiversity Assessment'!$BF$103&gt;0,'Biodiversity Assessment'!$BF$103*VLOOKUP('ESVD - Social Value of Bio'!T8&amp;"2",'ESVD - SUMMARY TABLE'!$E$2:$G$294,3,FALSE),0)+IF('Biodiversity Assessment'!$BF$104&gt;0,'Biodiversity Assessment'!$BF$104*VLOOKUP('ESVD - Social Value of Bio'!T8&amp;"3",'ESVD - SUMMARY TABLE'!$E$2:$G$294,3,FALSE),0)+IF('Biodiversity Assessment'!$BF$105&gt;0,'Biodiversity Assessment'!$BF$105*VLOOKUP('ESVD - Social Value of Bio'!T8&amp;"4",'ESVD - SUMMARY TABLE'!$E$2:$G$294,3,FALSE),0)+IF('Biodiversity Assessment'!$BF$106&gt;0,'Biodiversity Assessment'!$BF$106*VLOOKUP('ESVD - Social Value of Bio'!T8&amp;"5",'ESVD - SUMMARY TABLE'!$E$2:$G$294,3,FALSE),0),0),VLOOKUP('ESVD - Social Value of Bio'!T8&amp;"1",'ESVD - SUMMARY TABLE'!$E$2:$G$294,3,FALSE)))),0)</f>
        <v>0</v>
      </c>
      <c r="AB8" s="123">
        <f>'Biodiversity Assessment'!CX23</f>
        <v>0</v>
      </c>
      <c r="AC8" s="124">
        <f>IFERROR(IF(AB8&gt;0,AB8*'Biodiversity Assessment'!U23,IF(AA8&gt;0,AA8*'Biodiversity Assessment'!U23,Z8*'Biodiversity Assessment'!U23)),0)</f>
        <v>0</v>
      </c>
      <c r="AD8" s="456"/>
      <c r="AG8" s="453"/>
    </row>
    <row r="9" spans="1:33" s="110" customFormat="1" ht="10.5" x14ac:dyDescent="0.25">
      <c r="A9" s="107" t="s">
        <v>214</v>
      </c>
      <c r="B9" s="108" t="str">
        <f>IF(Start!$D$28&gt;1000,CONCATENATE(Start!$D$20," Mountain"),Start!$D$20)</f>
        <v>Please select</v>
      </c>
      <c r="C9" s="108" t="str">
        <f>Start!$D$24</f>
        <v>Please select</v>
      </c>
      <c r="D9" s="109" t="str">
        <f>'Biodiversity Assessment'!G24</f>
        <v>Select land use</v>
      </c>
      <c r="E9" s="109" t="str">
        <f>IF(OR(D9=Data!$E$4,D9=Data!$E$5,D9=Data!$E$6,D9=Data!$E$7),Data!$E$4,IF(OR(D9=Data!$E$9,D9=Data!$E$10,D9=Data!$E$11),Data!$E$9,IF(OR(D9=Data!$E$12,D9=Data!$E$13,D9=Data!$E$14),"Cropland",IF(OR(D9=Data!$E$16,D9=Data!$E$17),"Agroforestry",D9))))</f>
        <v>Select land use</v>
      </c>
      <c r="F9" s="109" t="str">
        <f t="shared" si="0"/>
        <v>Please selectPlease selectSelect land use</v>
      </c>
      <c r="G9" s="122">
        <f>IFERROR(IF(E9='ESVD - Land Use &amp; Climate Match'!$A$1,IF('Biodiversity Assessment'!$J$102&gt;0,'Biodiversity Assessment'!$J$102*VLOOKUP('ESVD - Social Value of Bio'!F9&amp;"1",'ESVD - SUMMARY TABLE'!$E$2:$G$294,3,),0)+IF('Biodiversity Assessment'!$J$103&gt;0,'Biodiversity Assessment'!$J$103*VLOOKUP('ESVD - Social Value of Bio'!F9&amp;"2",'ESVD - SUMMARY TABLE'!$E$2:$G$294,3,),0)+IF('Biodiversity Assessment'!$J$104&gt;0,'Biodiversity Assessment'!$J$104*VLOOKUP('ESVD - Social Value of Bio'!F9&amp;"3",'ESVD - SUMMARY TABLE'!$E$2:$G$294,3,),0)+IF('Biodiversity Assessment'!$J$105&gt;0,'Biodiversity Assessment'!$J$105*VLOOKUP('ESVD - Social Value of Bio'!F9&amp;"4",'ESVD - SUMMARY TABLE'!$E$2:$G$294,3,),0),IF(E9='ESVD - Land Use &amp; Climate Match'!$A$11,IF('Biodiversity Assessment'!$Z$102&gt;0,'Biodiversity Assessment'!$Z$102*VLOOKUP('ESVD - Social Value of Bio'!F9&amp;"1",'ESVD - SUMMARY TABLE'!$E$2:$G$294,3,FALSE),0)+IF('Biodiversity Assessment'!$Z$103&gt;0,'Biodiversity Assessment'!$Z$103*VLOOKUP('ESVD - Social Value of Bio'!F9&amp;"2",'ESVD - SUMMARY TABLE'!$E$2:$G$294,3,FALSE),0)+IF('Biodiversity Assessment'!$Z$104&gt;0,'Biodiversity Assessment'!$Z$104*VLOOKUP('ESVD - Social Value of Bio'!F9&amp;"3",'ESVD - SUMMARY TABLE'!$E$2:$G$294,3,FALSE),0)+IF('Biodiversity Assessment'!$Z$105&gt;0,'Biodiversity Assessment'!$Z$105*VLOOKUP('ESVD - Social Value of Bio'!F9&amp;"4",'ESVD - SUMMARY TABLE'!$E$2:$G$294,3,FALSE),0),IF(E9='ESVD - Land Use &amp; Climate Match'!$A$32,IF('Biodiversity Assessment'!$BD$102&gt;0,'Biodiversity Assessment'!$BD$102*VLOOKUP('ESVD - Social Value of Bio'!F9&amp;"1",'ESVD - SUMMARY TABLE'!$E$2:$G$294,3,FALSE),0)+IF('Biodiversity Assessment'!$BD$103&gt;0,'Biodiversity Assessment'!$BD$103*VLOOKUP('ESVD - Social Value of Bio'!F9&amp;"2",'ESVD - SUMMARY TABLE'!$E$2:$G$294,3,FALSE),0)+IF('Biodiversity Assessment'!$BD$104&gt;0,'Biodiversity Assessment'!$BD$104*VLOOKUP('ESVD - Social Value of Bio'!F9&amp;"3",'ESVD - SUMMARY TABLE'!$E$2:$G$294,3,FALSE),0)+IF('Biodiversity Assessment'!$BD$105&gt;0,'Biodiversity Assessment'!$BD$105*VLOOKUP('ESVD - Social Value of Bio'!F9&amp;"4",'ESVD - SUMMARY TABLE'!$E$2:$G$294,3,FALSE),0)+IF('Biodiversity Assessment'!$BD$106&gt;0,'Biodiversity Assessment'!$BD$106*VLOOKUP('ESVD - Social Value of Bio'!F9&amp;"5",'ESVD - SUMMARY TABLE'!$E$2:$G$294,3,FALSE),0),AVERAGE(IF('Biodiversity Assessment'!$J$102&gt;0,'Biodiversity Assessment'!$J$102*VLOOKUP(CONCATENATE($B9,$C9,'ESVD - Land Use &amp; Climate Match'!$A$1)&amp;"1",'ESVD - SUMMARY TABLE'!$E$2:$G$294,3,),0)+IF('Biodiversity Assessment'!$J$103&gt;0,'Biodiversity Assessment'!$J$103*VLOOKUP(CONCATENATE($B9,$C9,'ESVD - Land Use &amp; Climate Match'!$A$1)&amp;"2",'ESVD - SUMMARY TABLE'!$E$2:$G$294,3,),0)+IF('Biodiversity Assessment'!$J$104&gt;0,'Biodiversity Assessment'!$J$104*VLOOKUP(CONCATENATE($B9,$C9,'ESVD - Land Use &amp; Climate Match'!$A$1)&amp;"3",'ESVD - SUMMARY TABLE'!$E$2:$G$294,3,),0)+IF('Biodiversity Assessment'!$J$105&gt;0,'Biodiversity Assessment'!$J$105*VLOOKUP(CONCATENATE($B9,$C9,'ESVD - Land Use &amp; Climate Match'!$A$1)&amp;"4",'ESVD - SUMMARY TABLE'!$E$2:$G$294,3,),0),IF('Biodiversity Assessment'!$Z$102&gt;0,'Biodiversity Assessment'!$Z$102*VLOOKUP(CONCATENATE($B9,$C9,'ESVD - Land Use &amp; Climate Match'!$A$11)&amp;"1",'ESVD - SUMMARY TABLE'!$E$2:$G$294,3,FALSE),0)+IF('Biodiversity Assessment'!$Z$103&gt;0,'Biodiversity Assessment'!$Z$103*VLOOKUP(CONCATENATE($B9,$C9,'ESVD - Land Use &amp; Climate Match'!$A$11)&amp;"2",'ESVD - SUMMARY TABLE'!$E$2:$G$294,3,FALSE),0)+IF('Biodiversity Assessment'!$Z$104&gt;0,'Biodiversity Assessment'!$Z$104*VLOOKUP(CONCATENATE($B9,$C9,'ESVD - Land Use &amp; Climate Match'!$A$11)&amp;"3",'ESVD - SUMMARY TABLE'!$E$2:$G$294,3,FALSE),0)+IF('Biodiversity Assessment'!$Z$105&gt;0,'Biodiversity Assessment'!$Z$105*VLOOKUP(CONCATENATE($B9,$C9,'ESVD - Land Use &amp; Climate Match'!$A$11)&amp;"4",'ESVD - SUMMARY TABLE'!$E$2:$G$294,3,FALSE),0),IF('Biodiversity Assessment'!$BD$102&gt;0,'Biodiversity Assessment'!$BD$102*VLOOKUP(CONCATENATE($B9,$C9,'ESVD - Land Use &amp; Climate Match'!$A$32)&amp;"1",'ESVD - SUMMARY TABLE'!$E$2:$G$294,3,FALSE),0)+IF('Biodiversity Assessment'!$BD$103&gt;0,'Biodiversity Assessment'!$BD$103*VLOOKUP(CONCATENATE($B9,$C9,'ESVD - Land Use &amp; Climate Match'!$A$32)&amp;"2",'ESVD - SUMMARY TABLE'!$E$2:$G$294,3,FALSE),0)+IF('Biodiversity Assessment'!$BD$104&gt;0,'Biodiversity Assessment'!$BD$104*VLOOKUP(CONCATENATE($B9,$C9,'ESVD - Land Use &amp; Climate Match'!$A$32)&amp;"3",'ESVD - SUMMARY TABLE'!$E$2:$G$294,3,FALSE),0)+IF('Biodiversity Assessment'!$BD$105&gt;0,'Biodiversity Assessment'!$BD$105*VLOOKUP(CONCATENATE($B9,$C9,'ESVD - Land Use &amp; Climate Match'!$A$32)&amp;"4",'ESVD - SUMMARY TABLE'!$E$2:$G$294,3,FALSE),0)+IF('Biodiversity Assessment'!$BD$106&gt;0,'Biodiversity Assessment'!$BD$106*VLOOKUP(CONCATENATE($B9,$C9,'ESVD - Land Use &amp; Climate Match'!$A$32)&amp;"5",'ESVD - SUMMARY TABLE'!$E$2:$G$294,3,FALSE)))))),0)</f>
        <v>0</v>
      </c>
      <c r="H9" s="122">
        <f>IFERROR(IF(E9='ESVD - Land Use &amp; Climate Match'!$A$1,IF(SUM('Biodiversity Assessment'!$O$102:$P$105)=SUM('Biodiversity Assessment'!$J$102:$M$105),IF('Biodiversity Assessment'!$O$102&gt;0,'Biodiversity Assessment'!$O$102*VLOOKUP('ESVD - Social Value of Bio'!F9&amp;"1",'ESVD - SUMMARY TABLE'!$E$2:$G$294,3,),0)+IF('Biodiversity Assessment'!$O$103&gt;0,'Biodiversity Assessment'!$O$103*VLOOKUP('ESVD - Social Value of Bio'!F9&amp;"2",'ESVD - SUMMARY TABLE'!$E$2:$G$294,3,),0)+IF('Biodiversity Assessment'!$O$104&gt;0,'Biodiversity Assessment'!$O$104*VLOOKUP('ESVD - Social Value of Bio'!F9&amp;"3",'ESVD - SUMMARY TABLE'!$E$2:$G$294,3,),0)+IF('Biodiversity Assessment'!$O$105&gt;0,'Biodiversity Assessment'!$O$105*VLOOKUP('ESVD - Social Value of Bio'!F9&amp;"4",'ESVD - SUMMARY TABLE'!$E$2:$G$294,3,),0),0),IF(E9='ESVD - Land Use &amp; Climate Match'!$A$11,IF(SUM('Biodiversity Assessment'!$AH$102:$AN$105)=SUM('Biodiversity Assessment'!$Z$102:$AF$105),IF('Biodiversity Assessment'!$AH$102&gt;0,'Biodiversity Assessment'!$AH$102*VLOOKUP('ESVD - Social Value of Bio'!F9&amp;"1",'ESVD - SUMMARY TABLE'!$E$2:$G$294,3,FALSE),0)+IF('Biodiversity Assessment'!$AH$103&gt;0,'Biodiversity Assessment'!$AH$103*VLOOKUP('ESVD - Social Value of Bio'!F9&amp;"2",'ESVD - SUMMARY TABLE'!$E$2:$G$294,3,FALSE),0)+IF('Biodiversity Assessment'!$AH$104&gt;0,'Biodiversity Assessment'!$AH$104*VLOOKUP('ESVD - Social Value of Bio'!F9&amp;"3",'ESVD - SUMMARY TABLE'!$E$2:$G$294,3,FALSE),0)+IF('Biodiversity Assessment'!$AH$105&gt;0,'Biodiversity Assessment'!$AH$105*VLOOKUP('ESVD - Social Value of Bio'!F9&amp;"4",'ESVD - SUMMARY TABLE'!$E$2:$G$294,3,FALSE),0),0),IF(E9='ESVD - Land Use &amp; Climate Match'!$A$32,IF(SUM('Biodiversity Assessment'!$BF$102:$BF$106)=SUM('Biodiversity Assessment'!$BD$102:$BD$106),IF('Biodiversity Assessment'!$BF$102&gt;0,'Biodiversity Assessment'!$BF$102*VLOOKUP('ESVD - Social Value of Bio'!F9&amp;"1",'ESVD - SUMMARY TABLE'!$E$2:$G$294,3,FALSE),0)+IF('Biodiversity Assessment'!$BF$103&gt;0,'Biodiversity Assessment'!$BF$103*VLOOKUP('ESVD - Social Value of Bio'!F9&amp;"2",'ESVD - SUMMARY TABLE'!$E$2:$G$294,3,FALSE),0)+IF('Biodiversity Assessment'!$BF$104&gt;0,'Biodiversity Assessment'!$BF$104*VLOOKUP('ESVD - Social Value of Bio'!F9&amp;"3",'ESVD - SUMMARY TABLE'!$E$2:$G$294,3,FALSE),0)+IF('Biodiversity Assessment'!$BF$105&gt;0,'Biodiversity Assessment'!$BF$105*VLOOKUP('ESVD - Social Value of Bio'!F9&amp;"4",'ESVD - SUMMARY TABLE'!$E$2:$G$294,3,FALSE),0)+IF('Biodiversity Assessment'!$BF$106&gt;0,'Biodiversity Assessment'!$BF$106*VLOOKUP('ESVD - Social Value of Bio'!F9&amp;"5",'ESVD - SUMMARY TABLE'!$E$2:$G$294,3,FALSE),0),0),AVERAGE(IF(SUM('Biodiversity Assessment'!$O$102:$P$105)=SUM('Biodiversity Assessment'!$J$102:$M$105),IF('Biodiversity Assessment'!$O$102&gt;0,'Biodiversity Assessment'!$O$102*VLOOKUP(CONCATENATE($B9,$C9,'ESVD - Land Use &amp; Climate Match'!$A$1)&amp;"1",'ESVD - SUMMARY TABLE'!$E$2:$G$294,3,),0)+IF('Biodiversity Assessment'!$O$103&gt;0,'Biodiversity Assessment'!$O$103*VLOOKUP(CONCATENATE($B9,$C9,'ESVD - Land Use &amp; Climate Match'!$A$1)&amp;"2",'ESVD - SUMMARY TABLE'!$E$2:$G$294,3,),0)+IF('Biodiversity Assessment'!$O$104&gt;0,'Biodiversity Assessment'!$O$104*VLOOKUP(CONCATENATE($B9,$C9,'ESVD - Land Use &amp; Climate Match'!$A$1)&amp;"3",'ESVD - SUMMARY TABLE'!$E$2:$G$294,3,),0)+IF('Biodiversity Assessment'!$O$105&gt;0,'Biodiversity Assessment'!$O$105*VLOOKUP(CONCATENATE($B9,$C9,'ESVD - Land Use &amp; Climate Match'!$A$1)&amp;"4",'ESVD - SUMMARY TABLE'!$E$2:$G$294,3,),0),0),IF(SUM('Biodiversity Assessment'!$AH$102:$AN$105)=SUM('Biodiversity Assessment'!$Z$102:$AF$105),IF('Biodiversity Assessment'!$AH$102&gt;0,'Biodiversity Assessment'!$AH$102*VLOOKUP(CONCATENATE($B9,$C9,'ESVD - Land Use &amp; Climate Match'!$A$11)&amp;"1",'ESVD - SUMMARY TABLE'!$E$2:$G$294,3,FALSE),0)+IF('Biodiversity Assessment'!$AH$103&gt;0,'Biodiversity Assessment'!$AH$103*VLOOKUP(CONCATENATE($B9,$C9,'ESVD - Land Use &amp; Climate Match'!$A$11)&amp;"2",'ESVD - SUMMARY TABLE'!$E$2:$G$294,3,FALSE),0)+IF('Biodiversity Assessment'!$AH$104&gt;0,'Biodiversity Assessment'!$AH$104*VLOOKUP(CONCATENATE($B9,$C9,'ESVD - Land Use &amp; Climate Match'!$A$11)&amp;"3",'ESVD - SUMMARY TABLE'!$E$2:$G$294,3,FALSE),0)+IF('Biodiversity Assessment'!$AH$105&gt;0,'Biodiversity Assessment'!$AH$105*VLOOKUP(CONCATENATE($B9,$C9,'ESVD - Land Use &amp; Climate Match'!$A$11)&amp;"4",'ESVD - SUMMARY TABLE'!$E$2:$G$294,3,FALSE),0),0),IF(SUM('Biodiversity Assessment'!$BF$102:$BF$106)=SUM('Biodiversity Assessment'!$BD$102:$BD$106),IF('Biodiversity Assessment'!$BF$102&gt;0,'Biodiversity Assessment'!$BF$102*VLOOKUP(CONCATENATE($B9,$C9,'ESVD - Land Use &amp; Climate Match'!$A$32)&amp;"1",'ESVD - SUMMARY TABLE'!$E$2:$G$294,3,FALSE),0)+IF('Biodiversity Assessment'!$BF$103&gt;0,'Biodiversity Assessment'!$BF$103*VLOOKUP(CONCATENATE($B9,$C9,'ESVD - Land Use &amp; Climate Match'!$A$32)&amp;"2",'ESVD - SUMMARY TABLE'!$E$2:$G$294,3,FALSE),0)+IF('Biodiversity Assessment'!$BF$104&gt;0,'Biodiversity Assessment'!$BF$104*VLOOKUP(CONCATENATE($B9,$C9,'ESVD - Land Use &amp; Climate Match'!$A$32)&amp;"3",'ESVD - SUMMARY TABLE'!$E$2:$G$294,3,FALSE),0)+IF('Biodiversity Assessment'!$BF$105&gt;0,'Biodiversity Assessment'!$BF$105*VLOOKUP(CONCATENATE($B9,$C9,'ESVD - Land Use &amp; Climate Match'!$A$32)&amp;"4",'ESVD - SUMMARY TABLE'!$E$2:$G$294,3,FALSE),0)+IF('Biodiversity Assessment'!$BF$106&gt;0,'Biodiversity Assessment'!$BF$106*VLOOKUP(CONCATENATE($B9,$C9,'ESVD - Land Use &amp; Climate Match'!$A$32)&amp;"5",'ESVD - SUMMARY TABLE'!$E$2:$G$294,3,FALSE),0),0))))),0)</f>
        <v>0</v>
      </c>
      <c r="I9" s="122">
        <f>'Biodiversity Assessment'!CR24</f>
        <v>0</v>
      </c>
      <c r="J9" s="122">
        <f>IFERROR(IF(I9&gt;0,I9*'Biodiversity Assessment'!$M24,IF(H9&gt;0,H9*'Biodiversity Assessment'!$M24,G9*'Biodiversity Assessment'!$M24)),0)</f>
        <v>0</v>
      </c>
      <c r="K9" s="454"/>
      <c r="L9" s="123">
        <f>IFERROR(IF(E9='ESVD - Land Use &amp; Climate Match'!$A$1,IF('Biodiversity Assessment'!$J$102&gt;0,'Biodiversity Assessment'!$J$102*VLOOKUP('ESVD - Social Value of Bio'!F9&amp;"1",'ESVD - SUMMARY TABLE'!$E$2:$G$294,3,),0)+IF('Biodiversity Assessment'!$J$103&gt;0,'Biodiversity Assessment'!$J$103*VLOOKUP('ESVD - Social Value of Bio'!F9&amp;"2",'ESVD - SUMMARY TABLE'!$E$2:$G$294,3,),0)+IF('Biodiversity Assessment'!$J$104&gt;0,'Biodiversity Assessment'!$J$104*VLOOKUP('ESVD - Social Value of Bio'!F9&amp;"3",'ESVD - SUMMARY TABLE'!$E$2:$G$294,3,),0)+IF('Biodiversity Assessment'!$J$105&gt;0,'Biodiversity Assessment'!$J$105*VLOOKUP('ESVD - Social Value of Bio'!F9&amp;"4",'ESVD - SUMMARY TABLE'!$E$2:$G$294,3,),0),IF(E9='ESVD - Land Use &amp; Climate Match'!$A$11,IF('Biodiversity Assessment'!$Z$102&gt;0,'Biodiversity Assessment'!$Z$102*VLOOKUP('ESVD - Social Value of Bio'!F9&amp;"1",'ESVD - SUMMARY TABLE'!$E$2:$G$294,3,FALSE),0)+IF('Biodiversity Assessment'!$Z$103&gt;0,'Biodiversity Assessment'!$Z$103*VLOOKUP('ESVD - Social Value of Bio'!F9&amp;"2",'ESVD - SUMMARY TABLE'!$E$2:$G$294,3,FALSE),0)+IF('Biodiversity Assessment'!$Z$104&gt;0,'Biodiversity Assessment'!$Z$104*VLOOKUP('ESVD - Social Value of Bio'!F9&amp;"3",'ESVD - SUMMARY TABLE'!$E$2:$G$294,3,FALSE),0)+IF('Biodiversity Assessment'!$Z$105&gt;0,'Biodiversity Assessment'!$Z$105*VLOOKUP('ESVD - Social Value of Bio'!F9&amp;"4",'ESVD - SUMMARY TABLE'!$E$2:$G$294,3,FALSE),0),IF(E9='ESVD - Land Use &amp; Climate Match'!$A$32,IF('Biodiversity Assessment'!$BD$102&gt;0,'Biodiversity Assessment'!$BD$102*VLOOKUP('ESVD - Social Value of Bio'!F9&amp;"1",'ESVD - SUMMARY TABLE'!$E$2:$G$294,3,FALSE),0)+IF('Biodiversity Assessment'!$BD$103&gt;0,'Biodiversity Assessment'!$BD$103*VLOOKUP('ESVD - Social Value of Bio'!F9&amp;"2",'ESVD - SUMMARY TABLE'!$E$2:$G$294,3,FALSE),0)+IF('Biodiversity Assessment'!$BD$104&gt;0,'Biodiversity Assessment'!$BD$104*VLOOKUP('ESVD - Social Value of Bio'!F9&amp;"3",'ESVD - SUMMARY TABLE'!$E$2:$G$294,3,FALSE),0)+IF('Biodiversity Assessment'!$BD$105&gt;0,'Biodiversity Assessment'!$BD$105*VLOOKUP('ESVD - Social Value of Bio'!F9&amp;"4",'ESVD - SUMMARY TABLE'!$E$2:$G$294,3,FALSE),0)+IF('Biodiversity Assessment'!$BD$106&gt;0,'Biodiversity Assessment'!$BD$106*VLOOKUP('ESVD - Social Value of Bio'!F9&amp;"5",'ESVD - SUMMARY TABLE'!$E$2:$G$294,3,FALSE),0),VLOOKUP('ESVD - Social Value of Bio'!F9&amp;"1",'ESVD - SUMMARY TABLE'!$E$2:$G$294,3,FALSE)))),0)</f>
        <v>0</v>
      </c>
      <c r="M9" s="123">
        <f>IFERROR(IF(E9='ESVD - Land Use &amp; Climate Match'!$A$1,IF(SUM('Biodiversity Assessment'!$O$102:$P$105)=SUM('Biodiversity Assessment'!$J$102:$M$105),IF('Biodiversity Assessment'!$O$102&gt;0,'Biodiversity Assessment'!$O$102*VLOOKUP('ESVD - Social Value of Bio'!F9&amp;"1",'ESVD - SUMMARY TABLE'!$E$2:$G$294,3,),0)+IF('Biodiversity Assessment'!$O$103&gt;0,'Biodiversity Assessment'!$O$103*VLOOKUP('ESVD - Social Value of Bio'!F9&amp;"2",'ESVD - SUMMARY TABLE'!$E$2:$G$294,3,),0)+IF('Biodiversity Assessment'!$O$104&gt;0,'Biodiversity Assessment'!$O$104*VLOOKUP('ESVD - Social Value of Bio'!F9&amp;"3",'ESVD - SUMMARY TABLE'!$E$2:$G$294,3,),0)+IF('Biodiversity Assessment'!$O$105&gt;0,'Biodiversity Assessment'!$O$105*VLOOKUP('ESVD - Social Value of Bio'!F9&amp;"4",'ESVD - SUMMARY TABLE'!$E$2:$G$294,3,),0),0),IF(E9='ESVD - Land Use &amp; Climate Match'!$A$11,IF(SUM('Biodiversity Assessment'!$AH$102:$AN$105)=SUM('Biodiversity Assessment'!$Z$102:$AF$105),IF('Biodiversity Assessment'!$AH$102&gt;0,'Biodiversity Assessment'!$AH$102*VLOOKUP('ESVD - Social Value of Bio'!F9&amp;"1",'ESVD - SUMMARY TABLE'!$E$2:$G$294,3,FALSE),0)+IF('Biodiversity Assessment'!$AH$103&gt;0,'Biodiversity Assessment'!$AH$103*VLOOKUP('ESVD - Social Value of Bio'!F9&amp;"2",'ESVD - SUMMARY TABLE'!$E$2:$G$294,3,FALSE),0)+IF('Biodiversity Assessment'!$AH$104&gt;0,'Biodiversity Assessment'!$AH$104*VLOOKUP('ESVD - Social Value of Bio'!F9&amp;"3",'ESVD - SUMMARY TABLE'!$E$2:$G$294,3,FALSE),0)+IF('Biodiversity Assessment'!$AH$105&gt;0,'Biodiversity Assessment'!$AH$105*VLOOKUP('ESVD - Social Value of Bio'!F9&amp;"4",'ESVD - SUMMARY TABLE'!$E$2:$G$294,3,FALSE),0),0),IF(E9='ESVD - Land Use &amp; Climate Match'!$A$32,IF(SUM('Biodiversity Assessment'!$BF$102:$BF$106)=SUM('Biodiversity Assessment'!$BD$102:$BD$106),IF('Biodiversity Assessment'!$BF$102&gt;0,'Biodiversity Assessment'!$BF$102*VLOOKUP('ESVD - Social Value of Bio'!F9&amp;"1",'ESVD - SUMMARY TABLE'!$E$2:$G$294,3,FALSE),0)+IF('Biodiversity Assessment'!$BF$103&gt;0,'Biodiversity Assessment'!$BF$103*VLOOKUP('ESVD - Social Value of Bio'!F9&amp;"2",'ESVD - SUMMARY TABLE'!$E$2:$G$294,3,FALSE),0)+IF('Biodiversity Assessment'!$BF$104&gt;0,'Biodiversity Assessment'!$BF$104*VLOOKUP('ESVD - Social Value of Bio'!F9&amp;"3",'ESVD - SUMMARY TABLE'!$E$2:$G$294,3,FALSE),0)+IF('Biodiversity Assessment'!$BF$105&gt;0,'Biodiversity Assessment'!$BF$105*VLOOKUP('ESVD - Social Value of Bio'!F9&amp;"4",'ESVD - SUMMARY TABLE'!$E$2:$G$294,3,FALSE),0)+IF('Biodiversity Assessment'!$BF$106&gt;0,'Biodiversity Assessment'!$BF$106*VLOOKUP('ESVD - Social Value of Bio'!F9&amp;"5",'ESVD - SUMMARY TABLE'!$E$2:$G$294,3,FALSE),0),0),VLOOKUP('ESVD - Social Value of Bio'!F9&amp;"1",'ESVD - SUMMARY TABLE'!$E$2:$G$294,3,FALSE)))),0)</f>
        <v>0</v>
      </c>
      <c r="N9" s="123">
        <f>'Biodiversity Assessment'!CR24</f>
        <v>0</v>
      </c>
      <c r="O9" s="124">
        <f>IFERROR(IF(N9&gt;0,N9*'Biodiversity Assessment'!M24,IF(M9&gt;0,M9*'Biodiversity Assessment'!M24,L9*'Biodiversity Assessment'!M24)),0)</f>
        <v>0</v>
      </c>
      <c r="P9" s="456"/>
      <c r="R9" s="108" t="str">
        <f>'Biodiversity Assessment'!O24</f>
        <v>Select land use</v>
      </c>
      <c r="S9" s="109" t="str">
        <f>IF(OR(R9=Data!$E$4,R9=Data!$E$5,R9=Data!$E$6,R9=Data!$E$7),Data!$E$4,IF(OR(R9=Data!$E$9,R9=Data!$E$10,R9=Data!$E$11),Data!$E$9,IF(OR(R9=Data!$E$12,R9=Data!$E$13,R9=Data!$E$14),"Cropland",IF(OR(R9=Data!$E$16,R9=Data!$E$17),"Agroforestry",R9))))</f>
        <v>Select land use</v>
      </c>
      <c r="T9" s="109" t="str">
        <f t="shared" si="1"/>
        <v>Please selectPlease selectSelect land use</v>
      </c>
      <c r="U9" s="122">
        <f>IFERROR(IF(S9='ESVD - Land Use &amp; Climate Match'!$A$1,IF('Biodiversity Assessment'!$J$102&gt;0,'Biodiversity Assessment'!$J$102*VLOOKUP('ESVD - Social Value of Bio'!T9&amp;"1",'ESVD - SUMMARY TABLE'!$E$2:$G$294,3,),0)+IF('Biodiversity Assessment'!$J$103&gt;0,'Biodiversity Assessment'!$J$103*VLOOKUP('ESVD - Social Value of Bio'!T9&amp;"2",'ESVD - SUMMARY TABLE'!$E$2:$G$294,3,),0)+IF('Biodiversity Assessment'!$J$104&gt;0,'Biodiversity Assessment'!$J$104*VLOOKUP('ESVD - Social Value of Bio'!T9&amp;"3",'ESVD - SUMMARY TABLE'!$E$2:$G$294,3,),0)+IF('Biodiversity Assessment'!$J$105&gt;0,'Biodiversity Assessment'!$J$105*VLOOKUP('ESVD - Social Value of Bio'!T9&amp;"4",'ESVD - SUMMARY TABLE'!$E$2:$G$294,3,),0),IF(S9='ESVD - Land Use &amp; Climate Match'!$A$11,IF('Biodiversity Assessment'!$Z$102&gt;0,'Biodiversity Assessment'!$Z$102*VLOOKUP('ESVD - Social Value of Bio'!T9&amp;"1",'ESVD - SUMMARY TABLE'!$E$2:$G$294,3,FALSE),0)+IF('Biodiversity Assessment'!$Z$103&gt;0,'Biodiversity Assessment'!$Z$103*VLOOKUP('ESVD - Social Value of Bio'!T9&amp;"2",'ESVD - SUMMARY TABLE'!$E$2:$G$294,3,FALSE),0)+IF('Biodiversity Assessment'!$Z$104&gt;0,'Biodiversity Assessment'!$Z$104*VLOOKUP('ESVD - Social Value of Bio'!T9&amp;"3",'ESVD - SUMMARY TABLE'!$E$2:$G$294,3,FALSE),0)+IF('Biodiversity Assessment'!$Z$105&gt;0,'Biodiversity Assessment'!$Z$105*VLOOKUP('ESVD - Social Value of Bio'!T9&amp;"4",'ESVD - SUMMARY TABLE'!$E$2:$G$294,3,FALSE),0),IF(S9='ESVD - Land Use &amp; Climate Match'!$A$32,IF('Biodiversity Assessment'!$BD$102&gt;0,'Biodiversity Assessment'!$BD$102*VLOOKUP('ESVD - Social Value of Bio'!T9&amp;"1",'ESVD - SUMMARY TABLE'!$E$2:$G$294,3,FALSE),0)+IF('Biodiversity Assessment'!$BD$103&gt;0,'Biodiversity Assessment'!$BD$103*VLOOKUP('ESVD - Social Value of Bio'!T9&amp;"2",'ESVD - SUMMARY TABLE'!$E$2:$G$294,3,FALSE),0)+IF('Biodiversity Assessment'!$BD$104&gt;0,'Biodiversity Assessment'!$BD$104*VLOOKUP('ESVD - Social Value of Bio'!T9&amp;"3",'ESVD - SUMMARY TABLE'!$E$2:$G$294,3,FALSE),0)+IF('Biodiversity Assessment'!$BD$105&gt;0,'Biodiversity Assessment'!$BD$105*VLOOKUP('ESVD - Social Value of Bio'!T9&amp;"4",'ESVD - SUMMARY TABLE'!$E$2:$G$294,3,FALSE),0)+IF('Biodiversity Assessment'!$BD$106&gt;0,'Biodiversity Assessment'!$BD$106*VLOOKUP('ESVD - Social Value of Bio'!T9&amp;"5",'ESVD - SUMMARY TABLE'!$E$2:$G$294,3,FALSE),0),AVERAGE(IF('Biodiversity Assessment'!$J$102&gt;0,'Biodiversity Assessment'!$J$102*VLOOKUP(CONCATENATE(B9,C9,'ESVD - Land Use &amp; Climate Match'!$A$1)&amp;"1",'ESVD - SUMMARY TABLE'!$E$2:$G$294,3,),0)+IF('Biodiversity Assessment'!$J$103&gt;0,'Biodiversity Assessment'!$J$103*VLOOKUP(CONCATENATE(B9,C9,'ESVD - Land Use &amp; Climate Match'!$A$1)&amp;"2",'ESVD - SUMMARY TABLE'!$E$2:$G$294,3,),0)+IF('Biodiversity Assessment'!$J$104&gt;0,'Biodiversity Assessment'!$J$104*VLOOKUP(CONCATENATE(B9,C9,'ESVD - Land Use &amp; Climate Match'!$A$1)&amp;"3",'ESVD - SUMMARY TABLE'!$E$2:$G$294,3,),0)+IF('Biodiversity Assessment'!$J$105&gt;0,'Biodiversity Assessment'!$J$105*VLOOKUP(CONCATENATE(B9,C9,'ESVD - Land Use &amp; Climate Match'!$A$1)&amp;"4",'ESVD - SUMMARY TABLE'!$E$2:$G$294,3,),0),IF('Biodiversity Assessment'!$Z$102&gt;0,'Biodiversity Assessment'!$Z$102*VLOOKUP(CONCATENATE(B9,C9,'ESVD - Land Use &amp; Climate Match'!$A$11)&amp;"1",'ESVD - SUMMARY TABLE'!$E$2:$G$294,3,FALSE),0)+IF('Biodiversity Assessment'!$Z$103&gt;0,'Biodiversity Assessment'!$Z$103*VLOOKUP(CONCATENATE(B9,C9,'ESVD - Land Use &amp; Climate Match'!$A$11)&amp;"2",'ESVD - SUMMARY TABLE'!$E$2:$G$294,3,FALSE),0)+IF('Biodiversity Assessment'!$Z$104&gt;0,'Biodiversity Assessment'!$Z$104*VLOOKUP(CONCATENATE(B9,C9,'ESVD - Land Use &amp; Climate Match'!$A$11)&amp;"3",'ESVD - SUMMARY TABLE'!$E$2:$G$294,3,FALSE),0)+IF('Biodiversity Assessment'!$Z$105&gt;0,'Biodiversity Assessment'!$Z$105*VLOOKUP(CONCATENATE(B9,C9,'ESVD - Land Use &amp; Climate Match'!$A$11)&amp;"4",'ESVD - SUMMARY TABLE'!$E$2:$G$294,3,FALSE),0),IF('Biodiversity Assessment'!$BD$102&gt;0,'Biodiversity Assessment'!$BD$102*VLOOKUP(CONCATENATE(B9,C9,'ESVD - Land Use &amp; Climate Match'!$A$32)&amp;"1",'ESVD - SUMMARY TABLE'!$E$2:$G$294,3,FALSE),0)+IF('Biodiversity Assessment'!$BD$103&gt;0,'Biodiversity Assessment'!$BD$103*VLOOKUP(CONCATENATE(B9,C9,'ESVD - Land Use &amp; Climate Match'!$A$32)&amp;"2",'ESVD - SUMMARY TABLE'!$E$2:$G$294,3,FALSE),0)+IF('Biodiversity Assessment'!$BD$104&gt;0,'Biodiversity Assessment'!$BD$104*VLOOKUP(CONCATENATE(B9,C9,'ESVD - Land Use &amp; Climate Match'!$A$32)&amp;"3",'ESVD - SUMMARY TABLE'!$E$2:$G$294,3,FALSE),0)+IF('Biodiversity Assessment'!$BD$105&gt;0,'Biodiversity Assessment'!$BD$105*VLOOKUP(CONCATENATE(B9,C9,'ESVD - Land Use &amp; Climate Match'!$A$32)&amp;"4",'ESVD - SUMMARY TABLE'!$E$2:$G$294,3,FALSE),0)+IF('Biodiversity Assessment'!$BD$106&gt;0,'Biodiversity Assessment'!$BD$106*VLOOKUP(CONCATENATE(B9,C9,'ESVD - Land Use &amp; Climate Match'!$A$32)&amp;"5",'ESVD - SUMMARY TABLE'!$E$2:$G$294,3,FALSE)))))),0)</f>
        <v>0</v>
      </c>
      <c r="V9" s="122">
        <f>IFERROR(IF(S9='ESVD - Land Use &amp; Climate Match'!$A$1,IF(SUM('Biodiversity Assessment'!$O$102:$P$105)=SUM('Biodiversity Assessment'!$J$102:$M$105),IF('Biodiversity Assessment'!$O$102&gt;0,'Biodiversity Assessment'!$O$102*VLOOKUP('ESVD - Social Value of Bio'!T9&amp;"1",'ESVD - SUMMARY TABLE'!$E$2:$G$294,3,),0)+IF('Biodiversity Assessment'!$O$103&gt;0,'Biodiversity Assessment'!$O$103*VLOOKUP('ESVD - Social Value of Bio'!T9&amp;"2",'ESVD - SUMMARY TABLE'!$E$2:$G$294,3,),0)+IF('Biodiversity Assessment'!$O$104&gt;0,'Biodiversity Assessment'!$O$104*VLOOKUP('ESVD - Social Value of Bio'!T9&amp;"3",'ESVD - SUMMARY TABLE'!$E$2:$G$294,3,),0)+IF('Biodiversity Assessment'!$O$105&gt;0,'Biodiversity Assessment'!$O$105*VLOOKUP('ESVD - Social Value of Bio'!T9&amp;"4",'ESVD - SUMMARY TABLE'!$E$2:$G$294,3,),0),0),IF(S9='ESVD - Land Use &amp; Climate Match'!$A$11,IF(SUM('Biodiversity Assessment'!$AH$102:$AN$105)=SUM('Biodiversity Assessment'!$Z$102:$AF$105),IF('Biodiversity Assessment'!$AH$102&gt;0,'Biodiversity Assessment'!$AH$102*VLOOKUP('ESVD - Social Value of Bio'!T9&amp;"1",'ESVD - SUMMARY TABLE'!$E$2:$G$294,3,FALSE),0)+IF('Biodiversity Assessment'!$AH$103&gt;0,'Biodiversity Assessment'!$AH$103*VLOOKUP('ESVD - Social Value of Bio'!T9&amp;"2",'ESVD - SUMMARY TABLE'!$E$2:$G$294,3,FALSE),0)+IF('Biodiversity Assessment'!$AH$104&gt;0,'Biodiversity Assessment'!$AH$104*VLOOKUP('ESVD - Social Value of Bio'!T9&amp;"3",'ESVD - SUMMARY TABLE'!$E$2:$G$294,3,FALSE),0)+IF('Biodiversity Assessment'!$AH$105&gt;0,'Biodiversity Assessment'!$AH$105*VLOOKUP('ESVD - Social Value of Bio'!T9&amp;"4",'ESVD - SUMMARY TABLE'!$E$2:$G$294,3,FALSE),0),0),IF(S9='ESVD - Land Use &amp; Climate Match'!$A$32,IF(SUM('Biodiversity Assessment'!$BF$102:$BF$106)=SUM('Biodiversity Assessment'!$BD$102:$BD$106),IF('Biodiversity Assessment'!$BF$102&gt;0,'Biodiversity Assessment'!$BF$102*VLOOKUP('ESVD - Social Value of Bio'!T9&amp;"1",'ESVD - SUMMARY TABLE'!$E$2:$G$294,3,FALSE),0)+IF('Biodiversity Assessment'!$BF$103&gt;0,'Biodiversity Assessment'!$BF$103*VLOOKUP('ESVD - Social Value of Bio'!T9&amp;"2",'ESVD - SUMMARY TABLE'!$E$2:$G$294,3,FALSE),0)+IF('Biodiversity Assessment'!$BF$104&gt;0,'Biodiversity Assessment'!$BF$104*VLOOKUP('ESVD - Social Value of Bio'!T9&amp;"3",'ESVD - SUMMARY TABLE'!$E$2:$G$294,3,FALSE),0)+IF('Biodiversity Assessment'!$BF$105&gt;0,'Biodiversity Assessment'!$BF$105*VLOOKUP('ESVD - Social Value of Bio'!T9&amp;"4",'ESVD - SUMMARY TABLE'!$E$2:$G$294,3,FALSE),0)+IF('Biodiversity Assessment'!$BF$106&gt;0,'Biodiversity Assessment'!$BF$106*VLOOKUP('ESVD - Social Value of Bio'!T9&amp;"5",'ESVD - SUMMARY TABLE'!$E$2:$G$294,3,FALSE),0),0),AVERAGE(IF(SUM('Biodiversity Assessment'!$O$102:$P$105)=SUM('Biodiversity Assessment'!$J$102:$M$105),IF('Biodiversity Assessment'!$O$102&gt;0,'Biodiversity Assessment'!$O$102*VLOOKUP(CONCATENATE($B9,$C9,'ESVD - Land Use &amp; Climate Match'!$A$1)&amp;"1",'ESVD - SUMMARY TABLE'!$E$2:$G$294,3,),0)+IF('Biodiversity Assessment'!$O$103&gt;0,'Biodiversity Assessment'!$O$103*VLOOKUP(CONCATENATE($B9,$C9,'ESVD - Land Use &amp; Climate Match'!$A$1)&amp;"2",'ESVD - SUMMARY TABLE'!$E$2:$G$294,3,),0)+IF('Biodiversity Assessment'!$O$104&gt;0,'Biodiversity Assessment'!$O$104*VLOOKUP(CONCATENATE($B9,$C9,'ESVD - Land Use &amp; Climate Match'!$A$1)&amp;"3",'ESVD - SUMMARY TABLE'!$E$2:$G$294,3,),0)+IF('Biodiversity Assessment'!$O$105&gt;0,'Biodiversity Assessment'!$O$105*VLOOKUP(CONCATENATE($B9,$C9,'ESVD - Land Use &amp; Climate Match'!$A$1)&amp;"4",'ESVD - SUMMARY TABLE'!$E$2:$G$294,3,),0),0),IF(SUM('Biodiversity Assessment'!$AH$102:$AN$105)=SUM('Biodiversity Assessment'!$Z$102:$AF$105),IF('Biodiversity Assessment'!$AH$102&gt;0,'Biodiversity Assessment'!$AH$102*VLOOKUP(CONCATENATE($B9,$C9,'ESVD - Land Use &amp; Climate Match'!$A$11)&amp;"1",'ESVD - SUMMARY TABLE'!$E$2:$G$294,3,FALSE),0)+IF('Biodiversity Assessment'!$AH$103&gt;0,'Biodiversity Assessment'!$AH$103*VLOOKUP(CONCATENATE($B9,$C9,'ESVD - Land Use &amp; Climate Match'!$A$11)&amp;"2",'ESVD - SUMMARY TABLE'!$E$2:$G$294,3,FALSE),0)+IF('Biodiversity Assessment'!$AH$104&gt;0,'Biodiversity Assessment'!$AH$104*VLOOKUP(CONCATENATE($B9,$C9,'ESVD - Land Use &amp; Climate Match'!$A$11)&amp;"3",'ESVD - SUMMARY TABLE'!$E$2:$G$294,3,FALSE),0)+IF('Biodiversity Assessment'!$AH$105&gt;0,'Biodiversity Assessment'!$AH$105*VLOOKUP(CONCATENATE($B9,$C9,'ESVD - Land Use &amp; Climate Match'!$A$11)&amp;"4",'ESVD - SUMMARY TABLE'!$E$2:$G$294,3,FALSE),0),0),IF(SUM('Biodiversity Assessment'!$BF$102:$BF$106)=SUM('Biodiversity Assessment'!$BD$102:$BD$106),IF('Biodiversity Assessment'!$BF$102&gt;0,'Biodiversity Assessment'!$BF$102*VLOOKUP(CONCATENATE($B9,$C9,'ESVD - Land Use &amp; Climate Match'!$A$32)&amp;"1",'ESVD - SUMMARY TABLE'!$E$2:$G$294,3,FALSE),0)+IF('Biodiversity Assessment'!$BF$103&gt;0,'Biodiversity Assessment'!$BF$103*VLOOKUP(CONCATENATE($B9,$C9,'ESVD - Land Use &amp; Climate Match'!$A$32)&amp;"2",'ESVD - SUMMARY TABLE'!$E$2:$G$294,3,FALSE),0)+IF('Biodiversity Assessment'!$BF$104&gt;0,'Biodiversity Assessment'!$BF$104*VLOOKUP(CONCATENATE($B9,$C9,'ESVD - Land Use &amp; Climate Match'!$A$32)&amp;"3",'ESVD - SUMMARY TABLE'!$E$2:$G$294,3,FALSE),0)+IF('Biodiversity Assessment'!$BF$105&gt;0,'Biodiversity Assessment'!$BF$105*VLOOKUP(CONCATENATE($B9,$C9,'ESVD - Land Use &amp; Climate Match'!$A$32)&amp;"4",'ESVD - SUMMARY TABLE'!$E$2:$G$294,3,FALSE),0)+IF('Biodiversity Assessment'!$BF$106&gt;0,'Biodiversity Assessment'!$BF$106*VLOOKUP(CONCATENATE($B9,$C9,'ESVD - Land Use &amp; Climate Match'!$A$32)&amp;"5",'ESVD - SUMMARY TABLE'!$E$2:$G$294,3,FALSE),0),0))))),0)</f>
        <v>0</v>
      </c>
      <c r="W9" s="122">
        <f>'Biodiversity Assessment'!CX24</f>
        <v>0</v>
      </c>
      <c r="X9" s="122">
        <f>IFERROR(IF(W9&gt;0,W9*'Biodiversity Assessment'!$U24,IF(V9&gt;0,V9*'Biodiversity Assessment'!$U24,U9*'Biodiversity Assessment'!$U24)),0)</f>
        <v>0</v>
      </c>
      <c r="Y9" s="454"/>
      <c r="Z9" s="123">
        <f>IFERROR(IF(S9='ESVD - Land Use &amp; Climate Match'!$A$1,IF('Biodiversity Assessment'!$J$102&gt;0,'Biodiversity Assessment'!$J$102*VLOOKUP('ESVD - Social Value of Bio'!T9&amp;"1",'ESVD - SUMMARY TABLE'!$E$2:$G$294,3,),0)+IF('Biodiversity Assessment'!$J$103&gt;0,'Biodiversity Assessment'!$J$103*VLOOKUP('ESVD - Social Value of Bio'!T9&amp;"2",'ESVD - SUMMARY TABLE'!$E$2:$G$294,3,),0)+IF('Biodiversity Assessment'!$J$104&gt;0,'Biodiversity Assessment'!$J$104*VLOOKUP('ESVD - Social Value of Bio'!T9&amp;"3",'ESVD - SUMMARY TABLE'!$E$2:$G$294,3,),0)+IF('Biodiversity Assessment'!$J$105&gt;0,'Biodiversity Assessment'!$J$105*VLOOKUP('ESVD - Social Value of Bio'!T9&amp;"4",'ESVD - SUMMARY TABLE'!$E$2:$G$294,3,),0),IF(S9='ESVD - Land Use &amp; Climate Match'!$A$11,IF('Biodiversity Assessment'!$Z$102&gt;0,'Biodiversity Assessment'!$Z$102*VLOOKUP('ESVD - Social Value of Bio'!T9&amp;"1",'ESVD - SUMMARY TABLE'!$E$2:$G$294,3,FALSE),0)+IF('Biodiversity Assessment'!$Z$103&gt;0,'Biodiversity Assessment'!$Z$103*VLOOKUP('ESVD - Social Value of Bio'!T9&amp;"2",'ESVD - SUMMARY TABLE'!$E$2:$G$294,3,FALSE),0)+IF('Biodiversity Assessment'!$Z$104&gt;0,'Biodiversity Assessment'!$Z$104*VLOOKUP('ESVD - Social Value of Bio'!T9&amp;"3",'ESVD - SUMMARY TABLE'!$E$2:$G$294,3,FALSE),0)+IF('Biodiversity Assessment'!$Z$105&gt;0,'Biodiversity Assessment'!$Z$105*VLOOKUP('ESVD - Social Value of Bio'!T9&amp;"4",'ESVD - SUMMARY TABLE'!$E$2:$G$294,3,FALSE),0),IF(S9='ESVD - Land Use &amp; Climate Match'!$A$32,IF('Biodiversity Assessment'!$BD$102&gt;0,'Biodiversity Assessment'!$BD$102*VLOOKUP('ESVD - Social Value of Bio'!T9&amp;"1",'ESVD - SUMMARY TABLE'!$E$2:$G$294,3,FALSE),0)+IF('Biodiversity Assessment'!$BD$103&gt;0,'Biodiversity Assessment'!$BD$103*VLOOKUP('ESVD - Social Value of Bio'!T9&amp;"2",'ESVD - SUMMARY TABLE'!$E$2:$G$294,3,FALSE),0)+IF('Biodiversity Assessment'!$BD$104&gt;0,'Biodiversity Assessment'!$BD$104*VLOOKUP('ESVD - Social Value of Bio'!T9&amp;"3",'ESVD - SUMMARY TABLE'!$E$2:$G$294,3,FALSE),0)+IF('Biodiversity Assessment'!$BD$105&gt;0,'Biodiversity Assessment'!$BD$105*VLOOKUP('ESVD - Social Value of Bio'!T9&amp;"4",'ESVD - SUMMARY TABLE'!$E$2:$G$294,3,FALSE),0)+IF('Biodiversity Assessment'!$BD$106&gt;0,'Biodiversity Assessment'!$BD$106*VLOOKUP('ESVD - Social Value of Bio'!T9&amp;"5",'ESVD - SUMMARY TABLE'!$E$2:$G$294,3,FALSE),0),VLOOKUP('ESVD - Social Value of Bio'!T9&amp;"1",'ESVD - SUMMARY TABLE'!$E$2:$G$294,3,FALSE)))),0)</f>
        <v>0</v>
      </c>
      <c r="AA9" s="123">
        <f>IFERROR(IF(S9='ESVD - Land Use &amp; Climate Match'!$A$1,IF(SUM('Biodiversity Assessment'!$O$102:$P$105)=SUM('Biodiversity Assessment'!$J$102:$M$105),IF('Biodiversity Assessment'!$O$102&gt;0,'Biodiversity Assessment'!$O$102*VLOOKUP('ESVD - Social Value of Bio'!T9&amp;"1",'ESVD - SUMMARY TABLE'!$E$2:$G$294,3,),0)+IF('Biodiversity Assessment'!$O$103&gt;0,'Biodiversity Assessment'!$O$103*VLOOKUP('ESVD - Social Value of Bio'!T9&amp;"2",'ESVD - SUMMARY TABLE'!$E$2:$G$294,3,),0)+IF('Biodiversity Assessment'!$O$104&gt;0,'Biodiversity Assessment'!$O$104*VLOOKUP('ESVD - Social Value of Bio'!T9&amp;"3",'ESVD - SUMMARY TABLE'!$E$2:$G$294,3,),0)+IF('Biodiversity Assessment'!$O$105&gt;0,'Biodiversity Assessment'!$O$105*VLOOKUP('ESVD - Social Value of Bio'!T9&amp;"4",'ESVD - SUMMARY TABLE'!$E$2:$G$294,3,),0),0),IF(S9='ESVD - Land Use &amp; Climate Match'!$A$11,IF(SUM('Biodiversity Assessment'!$AH$102:$AN$105)=SUM('Biodiversity Assessment'!$Z$102:$AF$105),IF('Biodiversity Assessment'!$AH$102&gt;0,'Biodiversity Assessment'!$AH$102*VLOOKUP('ESVD - Social Value of Bio'!T9&amp;"1",'ESVD - SUMMARY TABLE'!$E$2:$G$294,3,FALSE),0)+IF('Biodiversity Assessment'!$AH$103&gt;0,'Biodiversity Assessment'!$AH$103*VLOOKUP('ESVD - Social Value of Bio'!T9&amp;"2",'ESVD - SUMMARY TABLE'!$E$2:$G$294,3,FALSE),0)+IF('Biodiversity Assessment'!$AH$104&gt;0,'Biodiversity Assessment'!$AH$104*VLOOKUP('ESVD - Social Value of Bio'!T9&amp;"3",'ESVD - SUMMARY TABLE'!$E$2:$G$294,3,FALSE),0)+IF('Biodiversity Assessment'!$AH$105&gt;0,'Biodiversity Assessment'!$AH$105*VLOOKUP('ESVD - Social Value of Bio'!T9&amp;"4",'ESVD - SUMMARY TABLE'!$E$2:$G$294,3,FALSE),0),0),IF(S9='ESVD - Land Use &amp; Climate Match'!$A$32,IF(SUM('Biodiversity Assessment'!$BF$102:$BF$106)=SUM('Biodiversity Assessment'!$BD$102:$BD$106),IF('Biodiversity Assessment'!$BF$102&gt;0,'Biodiversity Assessment'!$BF$102*VLOOKUP('ESVD - Social Value of Bio'!T9&amp;"1",'ESVD - SUMMARY TABLE'!$E$2:$G$294,3,FALSE),0)+IF('Biodiversity Assessment'!$BF$103&gt;0,'Biodiversity Assessment'!$BF$103*VLOOKUP('ESVD - Social Value of Bio'!T9&amp;"2",'ESVD - SUMMARY TABLE'!$E$2:$G$294,3,FALSE),0)+IF('Biodiversity Assessment'!$BF$104&gt;0,'Biodiversity Assessment'!$BF$104*VLOOKUP('ESVD - Social Value of Bio'!T9&amp;"3",'ESVD - SUMMARY TABLE'!$E$2:$G$294,3,FALSE),0)+IF('Biodiversity Assessment'!$BF$105&gt;0,'Biodiversity Assessment'!$BF$105*VLOOKUP('ESVD - Social Value of Bio'!T9&amp;"4",'ESVD - SUMMARY TABLE'!$E$2:$G$294,3,FALSE),0)+IF('Biodiversity Assessment'!$BF$106&gt;0,'Biodiversity Assessment'!$BF$106*VLOOKUP('ESVD - Social Value of Bio'!T9&amp;"5",'ESVD - SUMMARY TABLE'!$E$2:$G$294,3,FALSE),0),0),VLOOKUP('ESVD - Social Value of Bio'!T9&amp;"1",'ESVD - SUMMARY TABLE'!$E$2:$G$294,3,FALSE)))),0)</f>
        <v>0</v>
      </c>
      <c r="AB9" s="123">
        <f>'Biodiversity Assessment'!CX24</f>
        <v>0</v>
      </c>
      <c r="AC9" s="124">
        <f>IFERROR(IF(AB9&gt;0,AB9*'Biodiversity Assessment'!U24,IF(AA9&gt;0,AA9*'Biodiversity Assessment'!U24,Z9*'Biodiversity Assessment'!U24)),0)</f>
        <v>0</v>
      </c>
      <c r="AD9" s="456"/>
      <c r="AG9" s="453"/>
    </row>
    <row r="10" spans="1:33" s="110" customFormat="1" ht="10.5" x14ac:dyDescent="0.25">
      <c r="A10" s="107" t="s">
        <v>215</v>
      </c>
      <c r="B10" s="108" t="str">
        <f>IF(Start!$D$28&gt;1000,CONCATENATE(Start!$D$20," Mountain"),Start!$D$20)</f>
        <v>Please select</v>
      </c>
      <c r="C10" s="108" t="str">
        <f>Start!$D$24</f>
        <v>Please select</v>
      </c>
      <c r="D10" s="109" t="str">
        <f>'Biodiversity Assessment'!G25</f>
        <v>Select land use</v>
      </c>
      <c r="E10" s="109" t="str">
        <f>IF(OR(D10=Data!$E$4,D10=Data!$E$5,D10=Data!$E$6,D10=Data!$E$7),Data!$E$4,IF(OR(D10=Data!$E$9,D10=Data!$E$10,D10=Data!$E$11),Data!$E$9,IF(OR(D10=Data!$E$12,D10=Data!$E$13,D10=Data!$E$14),"Cropland",IF(OR(D10=Data!$E$16,D10=Data!$E$17),"Agroforestry",D10))))</f>
        <v>Select land use</v>
      </c>
      <c r="F10" s="109" t="str">
        <f t="shared" si="0"/>
        <v>Please selectPlease selectSelect land use</v>
      </c>
      <c r="G10" s="122">
        <f>IFERROR(IF(E10='ESVD - Land Use &amp; Climate Match'!$A$1,IF('Biodiversity Assessment'!$J$102&gt;0,'Biodiversity Assessment'!$J$102*VLOOKUP('ESVD - Social Value of Bio'!F10&amp;"1",'ESVD - SUMMARY TABLE'!$E$2:$G$294,3,),0)+IF('Biodiversity Assessment'!$J$103&gt;0,'Biodiversity Assessment'!$J$103*VLOOKUP('ESVD - Social Value of Bio'!F10&amp;"2",'ESVD - SUMMARY TABLE'!$E$2:$G$294,3,),0)+IF('Biodiversity Assessment'!$J$104&gt;0,'Biodiversity Assessment'!$J$104*VLOOKUP('ESVD - Social Value of Bio'!F10&amp;"3",'ESVD - SUMMARY TABLE'!$E$2:$G$294,3,),0)+IF('Biodiversity Assessment'!$J$105&gt;0,'Biodiversity Assessment'!$J$105*VLOOKUP('ESVD - Social Value of Bio'!F10&amp;"4",'ESVD - SUMMARY TABLE'!$E$2:$G$294,3,),0),IF(E10='ESVD - Land Use &amp; Climate Match'!$A$11,IF('Biodiversity Assessment'!$Z$102&gt;0,'Biodiversity Assessment'!$Z$102*VLOOKUP('ESVD - Social Value of Bio'!F10&amp;"1",'ESVD - SUMMARY TABLE'!$E$2:$G$294,3,FALSE),0)+IF('Biodiversity Assessment'!$Z$103&gt;0,'Biodiversity Assessment'!$Z$103*VLOOKUP('ESVD - Social Value of Bio'!F10&amp;"2",'ESVD - SUMMARY TABLE'!$E$2:$G$294,3,FALSE),0)+IF('Biodiversity Assessment'!$Z$104&gt;0,'Biodiversity Assessment'!$Z$104*VLOOKUP('ESVD - Social Value of Bio'!F10&amp;"3",'ESVD - SUMMARY TABLE'!$E$2:$G$294,3,FALSE),0)+IF('Biodiversity Assessment'!$Z$105&gt;0,'Biodiversity Assessment'!$Z$105*VLOOKUP('ESVD - Social Value of Bio'!F10&amp;"4",'ESVD - SUMMARY TABLE'!$E$2:$G$294,3,FALSE),0),IF(E10='ESVD - Land Use &amp; Climate Match'!$A$32,IF('Biodiversity Assessment'!$BD$102&gt;0,'Biodiversity Assessment'!$BD$102*VLOOKUP('ESVD - Social Value of Bio'!F10&amp;"1",'ESVD - SUMMARY TABLE'!$E$2:$G$294,3,FALSE),0)+IF('Biodiversity Assessment'!$BD$103&gt;0,'Biodiversity Assessment'!$BD$103*VLOOKUP('ESVD - Social Value of Bio'!F10&amp;"2",'ESVD - SUMMARY TABLE'!$E$2:$G$294,3,FALSE),0)+IF('Biodiversity Assessment'!$BD$104&gt;0,'Biodiversity Assessment'!$BD$104*VLOOKUP('ESVD - Social Value of Bio'!F10&amp;"3",'ESVD - SUMMARY TABLE'!$E$2:$G$294,3,FALSE),0)+IF('Biodiversity Assessment'!$BD$105&gt;0,'Biodiversity Assessment'!$BD$105*VLOOKUP('ESVD - Social Value of Bio'!F10&amp;"4",'ESVD - SUMMARY TABLE'!$E$2:$G$294,3,FALSE),0)+IF('Biodiversity Assessment'!$BD$106&gt;0,'Biodiversity Assessment'!$BD$106*VLOOKUP('ESVD - Social Value of Bio'!F10&amp;"5",'ESVD - SUMMARY TABLE'!$E$2:$G$294,3,FALSE),0),AVERAGE(IF('Biodiversity Assessment'!$J$102&gt;0,'Biodiversity Assessment'!$J$102*VLOOKUP(CONCATENATE($B10,$C10,'ESVD - Land Use &amp; Climate Match'!$A$1)&amp;"1",'ESVD - SUMMARY TABLE'!$E$2:$G$294,3,),0)+IF('Biodiversity Assessment'!$J$103&gt;0,'Biodiversity Assessment'!$J$103*VLOOKUP(CONCATENATE($B10,$C10,'ESVD - Land Use &amp; Climate Match'!$A$1)&amp;"2",'ESVD - SUMMARY TABLE'!$E$2:$G$294,3,),0)+IF('Biodiversity Assessment'!$J$104&gt;0,'Biodiversity Assessment'!$J$104*VLOOKUP(CONCATENATE($B10,$C10,'ESVD - Land Use &amp; Climate Match'!$A$1)&amp;"3",'ESVD - SUMMARY TABLE'!$E$2:$G$294,3,),0)+IF('Biodiversity Assessment'!$J$105&gt;0,'Biodiversity Assessment'!$J$105*VLOOKUP(CONCATENATE($B10,$C10,'ESVD - Land Use &amp; Climate Match'!$A$1)&amp;"4",'ESVD - SUMMARY TABLE'!$E$2:$G$294,3,),0),IF('Biodiversity Assessment'!$Z$102&gt;0,'Biodiversity Assessment'!$Z$102*VLOOKUP(CONCATENATE($B10,$C10,'ESVD - Land Use &amp; Climate Match'!$A$11)&amp;"1",'ESVD - SUMMARY TABLE'!$E$2:$G$294,3,FALSE),0)+IF('Biodiversity Assessment'!$Z$103&gt;0,'Biodiversity Assessment'!$Z$103*VLOOKUP(CONCATENATE($B10,$C10,'ESVD - Land Use &amp; Climate Match'!$A$11)&amp;"2",'ESVD - SUMMARY TABLE'!$E$2:$G$294,3,FALSE),0)+IF('Biodiversity Assessment'!$Z$104&gt;0,'Biodiversity Assessment'!$Z$104*VLOOKUP(CONCATENATE($B10,$C10,'ESVD - Land Use &amp; Climate Match'!$A$11)&amp;"3",'ESVD - SUMMARY TABLE'!$E$2:$G$294,3,FALSE),0)+IF('Biodiversity Assessment'!$Z$105&gt;0,'Biodiversity Assessment'!$Z$105*VLOOKUP(CONCATENATE($B10,$C10,'ESVD - Land Use &amp; Climate Match'!$A$11)&amp;"4",'ESVD - SUMMARY TABLE'!$E$2:$G$294,3,FALSE),0),IF('Biodiversity Assessment'!$BD$102&gt;0,'Biodiversity Assessment'!$BD$102*VLOOKUP(CONCATENATE($B10,$C10,'ESVD - Land Use &amp; Climate Match'!$A$32)&amp;"1",'ESVD - SUMMARY TABLE'!$E$2:$G$294,3,FALSE),0)+IF('Biodiversity Assessment'!$BD$103&gt;0,'Biodiversity Assessment'!$BD$103*VLOOKUP(CONCATENATE($B10,$C10,'ESVD - Land Use &amp; Climate Match'!$A$32)&amp;"2",'ESVD - SUMMARY TABLE'!$E$2:$G$294,3,FALSE),0)+IF('Biodiversity Assessment'!$BD$104&gt;0,'Biodiversity Assessment'!$BD$104*VLOOKUP(CONCATENATE($B10,$C10,'ESVD - Land Use &amp; Climate Match'!$A$32)&amp;"3",'ESVD - SUMMARY TABLE'!$E$2:$G$294,3,FALSE),0)+IF('Biodiversity Assessment'!$BD$105&gt;0,'Biodiversity Assessment'!$BD$105*VLOOKUP(CONCATENATE($B10,$C10,'ESVD - Land Use &amp; Climate Match'!$A$32)&amp;"4",'ESVD - SUMMARY TABLE'!$E$2:$G$294,3,FALSE),0)+IF('Biodiversity Assessment'!$BD$106&gt;0,'Biodiversity Assessment'!$BD$106*VLOOKUP(CONCATENATE($B10,$C10,'ESVD - Land Use &amp; Climate Match'!$A$32)&amp;"5",'ESVD - SUMMARY TABLE'!$E$2:$G$294,3,FALSE)))))),0)</f>
        <v>0</v>
      </c>
      <c r="H10" s="122">
        <f>IFERROR(IF(E10='ESVD - Land Use &amp; Climate Match'!$A$1,IF(SUM('Biodiversity Assessment'!$O$102:$P$105)=SUM('Biodiversity Assessment'!$J$102:$M$105),IF('Biodiversity Assessment'!$O$102&gt;0,'Biodiversity Assessment'!$O$102*VLOOKUP('ESVD - Social Value of Bio'!F10&amp;"1",'ESVD - SUMMARY TABLE'!$E$2:$G$294,3,),0)+IF('Biodiversity Assessment'!$O$103&gt;0,'Biodiversity Assessment'!$O$103*VLOOKUP('ESVD - Social Value of Bio'!F10&amp;"2",'ESVD - SUMMARY TABLE'!$E$2:$G$294,3,),0)+IF('Biodiversity Assessment'!$O$104&gt;0,'Biodiversity Assessment'!$O$104*VLOOKUP('ESVD - Social Value of Bio'!F10&amp;"3",'ESVD - SUMMARY TABLE'!$E$2:$G$294,3,),0)+IF('Biodiversity Assessment'!$O$105&gt;0,'Biodiversity Assessment'!$O$105*VLOOKUP('ESVD - Social Value of Bio'!F10&amp;"4",'ESVD - SUMMARY TABLE'!$E$2:$G$294,3,),0),0),IF(E10='ESVD - Land Use &amp; Climate Match'!$A$11,IF(SUM('Biodiversity Assessment'!$AH$102:$AN$105)=SUM('Biodiversity Assessment'!$Z$102:$AF$105),IF('Biodiversity Assessment'!$AH$102&gt;0,'Biodiversity Assessment'!$AH$102*VLOOKUP('ESVD - Social Value of Bio'!F10&amp;"1",'ESVD - SUMMARY TABLE'!$E$2:$G$294,3,FALSE),0)+IF('Biodiversity Assessment'!$AH$103&gt;0,'Biodiversity Assessment'!$AH$103*VLOOKUP('ESVD - Social Value of Bio'!F10&amp;"2",'ESVD - SUMMARY TABLE'!$E$2:$G$294,3,FALSE),0)+IF('Biodiversity Assessment'!$AH$104&gt;0,'Biodiversity Assessment'!$AH$104*VLOOKUP('ESVD - Social Value of Bio'!F10&amp;"3",'ESVD - SUMMARY TABLE'!$E$2:$G$294,3,FALSE),0)+IF('Biodiversity Assessment'!$AH$105&gt;0,'Biodiversity Assessment'!$AH$105*VLOOKUP('ESVD - Social Value of Bio'!F10&amp;"4",'ESVD - SUMMARY TABLE'!$E$2:$G$294,3,FALSE),0),0),IF(E10='ESVD - Land Use &amp; Climate Match'!$A$32,IF(SUM('Biodiversity Assessment'!$BF$102:$BF$106)=SUM('Biodiversity Assessment'!$BD$102:$BD$106),IF('Biodiversity Assessment'!$BF$102&gt;0,'Biodiversity Assessment'!$BF$102*VLOOKUP('ESVD - Social Value of Bio'!F10&amp;"1",'ESVD - SUMMARY TABLE'!$E$2:$G$294,3,FALSE),0)+IF('Biodiversity Assessment'!$BF$103&gt;0,'Biodiversity Assessment'!$BF$103*VLOOKUP('ESVD - Social Value of Bio'!F10&amp;"2",'ESVD - SUMMARY TABLE'!$E$2:$G$294,3,FALSE),0)+IF('Biodiversity Assessment'!$BF$104&gt;0,'Biodiversity Assessment'!$BF$104*VLOOKUP('ESVD - Social Value of Bio'!F10&amp;"3",'ESVD - SUMMARY TABLE'!$E$2:$G$294,3,FALSE),0)+IF('Biodiversity Assessment'!$BF$105&gt;0,'Biodiversity Assessment'!$BF$105*VLOOKUP('ESVD - Social Value of Bio'!F10&amp;"4",'ESVD - SUMMARY TABLE'!$E$2:$G$294,3,FALSE),0)+IF('Biodiversity Assessment'!$BF$106&gt;0,'Biodiversity Assessment'!$BF$106*VLOOKUP('ESVD - Social Value of Bio'!F10&amp;"5",'ESVD - SUMMARY TABLE'!$E$2:$G$294,3,FALSE),0),0),AVERAGE(IF(SUM('Biodiversity Assessment'!$O$102:$P$105)=SUM('Biodiversity Assessment'!$J$102:$M$105),IF('Biodiversity Assessment'!$O$102&gt;0,'Biodiversity Assessment'!$O$102*VLOOKUP(CONCATENATE($B10,$C10,'ESVD - Land Use &amp; Climate Match'!$A$1)&amp;"1",'ESVD - SUMMARY TABLE'!$E$2:$G$294,3,),0)+IF('Biodiversity Assessment'!$O$103&gt;0,'Biodiversity Assessment'!$O$103*VLOOKUP(CONCATENATE($B10,$C10,'ESVD - Land Use &amp; Climate Match'!$A$1)&amp;"2",'ESVD - SUMMARY TABLE'!$E$2:$G$294,3,),0)+IF('Biodiversity Assessment'!$O$104&gt;0,'Biodiversity Assessment'!$O$104*VLOOKUP(CONCATENATE($B10,$C10,'ESVD - Land Use &amp; Climate Match'!$A$1)&amp;"3",'ESVD - SUMMARY TABLE'!$E$2:$G$294,3,),0)+IF('Biodiversity Assessment'!$O$105&gt;0,'Biodiversity Assessment'!$O$105*VLOOKUP(CONCATENATE($B10,$C10,'ESVD - Land Use &amp; Climate Match'!$A$1)&amp;"4",'ESVD - SUMMARY TABLE'!$E$2:$G$294,3,),0),0),IF(SUM('Biodiversity Assessment'!$AH$102:$AN$105)=SUM('Biodiversity Assessment'!$Z$102:$AF$105),IF('Biodiversity Assessment'!$AH$102&gt;0,'Biodiversity Assessment'!$AH$102*VLOOKUP(CONCATENATE($B10,$C10,'ESVD - Land Use &amp; Climate Match'!$A$11)&amp;"1",'ESVD - SUMMARY TABLE'!$E$2:$G$294,3,FALSE),0)+IF('Biodiversity Assessment'!$AH$103&gt;0,'Biodiversity Assessment'!$AH$103*VLOOKUP(CONCATENATE($B10,$C10,'ESVD - Land Use &amp; Climate Match'!$A$11)&amp;"2",'ESVD - SUMMARY TABLE'!$E$2:$G$294,3,FALSE),0)+IF('Biodiversity Assessment'!$AH$104&gt;0,'Biodiversity Assessment'!$AH$104*VLOOKUP(CONCATENATE($B10,$C10,'ESVD - Land Use &amp; Climate Match'!$A$11)&amp;"3",'ESVD - SUMMARY TABLE'!$E$2:$G$294,3,FALSE),0)+IF('Biodiversity Assessment'!$AH$105&gt;0,'Biodiversity Assessment'!$AH$105*VLOOKUP(CONCATENATE($B10,$C10,'ESVD - Land Use &amp; Climate Match'!$A$11)&amp;"4",'ESVD - SUMMARY TABLE'!$E$2:$G$294,3,FALSE),0),0),IF(SUM('Biodiversity Assessment'!$BF$102:$BF$106)=SUM('Biodiversity Assessment'!$BD$102:$BD$106),IF('Biodiversity Assessment'!$BF$102&gt;0,'Biodiversity Assessment'!$BF$102*VLOOKUP(CONCATENATE($B10,$C10,'ESVD - Land Use &amp; Climate Match'!$A$32)&amp;"1",'ESVD - SUMMARY TABLE'!$E$2:$G$294,3,FALSE),0)+IF('Biodiversity Assessment'!$BF$103&gt;0,'Biodiversity Assessment'!$BF$103*VLOOKUP(CONCATENATE($B10,$C10,'ESVD - Land Use &amp; Climate Match'!$A$32)&amp;"2",'ESVD - SUMMARY TABLE'!$E$2:$G$294,3,FALSE),0)+IF('Biodiversity Assessment'!$BF$104&gt;0,'Biodiversity Assessment'!$BF$104*VLOOKUP(CONCATENATE($B10,$C10,'ESVD - Land Use &amp; Climate Match'!$A$32)&amp;"3",'ESVD - SUMMARY TABLE'!$E$2:$G$294,3,FALSE),0)+IF('Biodiversity Assessment'!$BF$105&gt;0,'Biodiversity Assessment'!$BF$105*VLOOKUP(CONCATENATE($B10,$C10,'ESVD - Land Use &amp; Climate Match'!$A$32)&amp;"4",'ESVD - SUMMARY TABLE'!$E$2:$G$294,3,FALSE),0)+IF('Biodiversity Assessment'!$BF$106&gt;0,'Biodiversity Assessment'!$BF$106*VLOOKUP(CONCATENATE($B10,$C10,'ESVD - Land Use &amp; Climate Match'!$A$32)&amp;"5",'ESVD - SUMMARY TABLE'!$E$2:$G$294,3,FALSE),0),0))))),0)</f>
        <v>0</v>
      </c>
      <c r="I10" s="122">
        <f>'Biodiversity Assessment'!CR25</f>
        <v>0</v>
      </c>
      <c r="J10" s="122">
        <f>IFERROR(IF(I10&gt;0,I10*'Biodiversity Assessment'!$M25,IF(H10&gt;0,H10*'Biodiversity Assessment'!$M25,G10*'Biodiversity Assessment'!$M25)),0)</f>
        <v>0</v>
      </c>
      <c r="K10" s="454"/>
      <c r="L10" s="123">
        <f>IFERROR(IF(E10='ESVD - Land Use &amp; Climate Match'!$A$1,IF('Biodiversity Assessment'!$J$102&gt;0,'Biodiversity Assessment'!$J$102*VLOOKUP('ESVD - Social Value of Bio'!F10&amp;"1",'ESVD - SUMMARY TABLE'!$E$2:$G$294,3,),0)+IF('Biodiversity Assessment'!$J$103&gt;0,'Biodiversity Assessment'!$J$103*VLOOKUP('ESVD - Social Value of Bio'!F10&amp;"2",'ESVD - SUMMARY TABLE'!$E$2:$G$294,3,),0)+IF('Biodiversity Assessment'!$J$104&gt;0,'Biodiversity Assessment'!$J$104*VLOOKUP('ESVD - Social Value of Bio'!F10&amp;"3",'ESVD - SUMMARY TABLE'!$E$2:$G$294,3,),0)+IF('Biodiversity Assessment'!$J$105&gt;0,'Biodiversity Assessment'!$J$105*VLOOKUP('ESVD - Social Value of Bio'!F10&amp;"4",'ESVD - SUMMARY TABLE'!$E$2:$G$294,3,),0),IF(E10='ESVD - Land Use &amp; Climate Match'!$A$11,IF('Biodiversity Assessment'!$Z$102&gt;0,'Biodiversity Assessment'!$Z$102*VLOOKUP('ESVD - Social Value of Bio'!F10&amp;"1",'ESVD - SUMMARY TABLE'!$E$2:$G$294,3,FALSE),0)+IF('Biodiversity Assessment'!$Z$103&gt;0,'Biodiversity Assessment'!$Z$103*VLOOKUP('ESVD - Social Value of Bio'!F10&amp;"2",'ESVD - SUMMARY TABLE'!$E$2:$G$294,3,FALSE),0)+IF('Biodiversity Assessment'!$Z$104&gt;0,'Biodiversity Assessment'!$Z$104*VLOOKUP('ESVD - Social Value of Bio'!F10&amp;"3",'ESVD - SUMMARY TABLE'!$E$2:$G$294,3,FALSE),0)+IF('Biodiversity Assessment'!$Z$105&gt;0,'Biodiversity Assessment'!$Z$105*VLOOKUP('ESVD - Social Value of Bio'!F10&amp;"4",'ESVD - SUMMARY TABLE'!$E$2:$G$294,3,FALSE),0),IF(E10='ESVD - Land Use &amp; Climate Match'!$A$32,IF('Biodiversity Assessment'!$BD$102&gt;0,'Biodiversity Assessment'!$BD$102*VLOOKUP('ESVD - Social Value of Bio'!F10&amp;"1",'ESVD - SUMMARY TABLE'!$E$2:$G$294,3,FALSE),0)+IF('Biodiversity Assessment'!$BD$103&gt;0,'Biodiversity Assessment'!$BD$103*VLOOKUP('ESVD - Social Value of Bio'!F10&amp;"2",'ESVD - SUMMARY TABLE'!$E$2:$G$294,3,FALSE),0)+IF('Biodiversity Assessment'!$BD$104&gt;0,'Biodiversity Assessment'!$BD$104*VLOOKUP('ESVD - Social Value of Bio'!F10&amp;"3",'ESVD - SUMMARY TABLE'!$E$2:$G$294,3,FALSE),0)+IF('Biodiversity Assessment'!$BD$105&gt;0,'Biodiversity Assessment'!$BD$105*VLOOKUP('ESVD - Social Value of Bio'!F10&amp;"4",'ESVD - SUMMARY TABLE'!$E$2:$G$294,3,FALSE),0)+IF('Biodiversity Assessment'!$BD$106&gt;0,'Biodiversity Assessment'!$BD$106*VLOOKUP('ESVD - Social Value of Bio'!F10&amp;"5",'ESVD - SUMMARY TABLE'!$E$2:$G$294,3,FALSE),0),VLOOKUP('ESVD - Social Value of Bio'!F10&amp;"1",'ESVD - SUMMARY TABLE'!$E$2:$G$294,3,FALSE)))),0)</f>
        <v>0</v>
      </c>
      <c r="M10" s="123">
        <f>IFERROR(IF(E10='ESVD - Land Use &amp; Climate Match'!$A$1,IF(SUM('Biodiversity Assessment'!$O$102:$P$105)=SUM('Biodiversity Assessment'!$J$102:$M$105),IF('Biodiversity Assessment'!$O$102&gt;0,'Biodiversity Assessment'!$O$102*VLOOKUP('ESVD - Social Value of Bio'!F10&amp;"1",'ESVD - SUMMARY TABLE'!$E$2:$G$294,3,),0)+IF('Biodiversity Assessment'!$O$103&gt;0,'Biodiversity Assessment'!$O$103*VLOOKUP('ESVD - Social Value of Bio'!F10&amp;"2",'ESVD - SUMMARY TABLE'!$E$2:$G$294,3,),0)+IF('Biodiversity Assessment'!$O$104&gt;0,'Biodiversity Assessment'!$O$104*VLOOKUP('ESVD - Social Value of Bio'!F10&amp;"3",'ESVD - SUMMARY TABLE'!$E$2:$G$294,3,),0)+IF('Biodiversity Assessment'!$O$105&gt;0,'Biodiversity Assessment'!$O$105*VLOOKUP('ESVD - Social Value of Bio'!F10&amp;"4",'ESVD - SUMMARY TABLE'!$E$2:$G$294,3,),0),0),IF(E10='ESVD - Land Use &amp; Climate Match'!$A$11,IF(SUM('Biodiversity Assessment'!$AH$102:$AN$105)=SUM('Biodiversity Assessment'!$Z$102:$AF$105),IF('Biodiversity Assessment'!$AH$102&gt;0,'Biodiversity Assessment'!$AH$102*VLOOKUP('ESVD - Social Value of Bio'!F10&amp;"1",'ESVD - SUMMARY TABLE'!$E$2:$G$294,3,FALSE),0)+IF('Biodiversity Assessment'!$AH$103&gt;0,'Biodiversity Assessment'!$AH$103*VLOOKUP('ESVD - Social Value of Bio'!F10&amp;"2",'ESVD - SUMMARY TABLE'!$E$2:$G$294,3,FALSE),0)+IF('Biodiversity Assessment'!$AH$104&gt;0,'Biodiversity Assessment'!$AH$104*VLOOKUP('ESVD - Social Value of Bio'!F10&amp;"3",'ESVD - SUMMARY TABLE'!$E$2:$G$294,3,FALSE),0)+IF('Biodiversity Assessment'!$AH$105&gt;0,'Biodiversity Assessment'!$AH$105*VLOOKUP('ESVD - Social Value of Bio'!F10&amp;"4",'ESVD - SUMMARY TABLE'!$E$2:$G$294,3,FALSE),0),0),IF(E10='ESVD - Land Use &amp; Climate Match'!$A$32,IF(SUM('Biodiversity Assessment'!$BF$102:$BF$106)=SUM('Biodiversity Assessment'!$BD$102:$BD$106),IF('Biodiversity Assessment'!$BF$102&gt;0,'Biodiversity Assessment'!$BF$102*VLOOKUP('ESVD - Social Value of Bio'!F10&amp;"1",'ESVD - SUMMARY TABLE'!$E$2:$G$294,3,FALSE),0)+IF('Biodiversity Assessment'!$BF$103&gt;0,'Biodiversity Assessment'!$BF$103*VLOOKUP('ESVD - Social Value of Bio'!F10&amp;"2",'ESVD - SUMMARY TABLE'!$E$2:$G$294,3,FALSE),0)+IF('Biodiversity Assessment'!$BF$104&gt;0,'Biodiversity Assessment'!$BF$104*VLOOKUP('ESVD - Social Value of Bio'!F10&amp;"3",'ESVD - SUMMARY TABLE'!$E$2:$G$294,3,FALSE),0)+IF('Biodiversity Assessment'!$BF$105&gt;0,'Biodiversity Assessment'!$BF$105*VLOOKUP('ESVD - Social Value of Bio'!F10&amp;"4",'ESVD - SUMMARY TABLE'!$E$2:$G$294,3,FALSE),0)+IF('Biodiversity Assessment'!$BF$106&gt;0,'Biodiversity Assessment'!$BF$106*VLOOKUP('ESVD - Social Value of Bio'!F10&amp;"5",'ESVD - SUMMARY TABLE'!$E$2:$G$294,3,FALSE),0),0),VLOOKUP('ESVD - Social Value of Bio'!F10&amp;"1",'ESVD - SUMMARY TABLE'!$E$2:$G$294,3,FALSE)))),0)</f>
        <v>0</v>
      </c>
      <c r="N10" s="123">
        <f>'Biodiversity Assessment'!CR25</f>
        <v>0</v>
      </c>
      <c r="O10" s="124">
        <f>IFERROR(IF(N10&gt;0,N10*'Biodiversity Assessment'!M25,IF(M10&gt;0,M10*'Biodiversity Assessment'!M25,L10*'Biodiversity Assessment'!M25)),0)</f>
        <v>0</v>
      </c>
      <c r="P10" s="456"/>
      <c r="R10" s="108" t="str">
        <f>'Biodiversity Assessment'!O25</f>
        <v>Select land use</v>
      </c>
      <c r="S10" s="109" t="str">
        <f>IF(OR(R10=Data!$E$4,R10=Data!$E$5,R10=Data!$E$6,R10=Data!$E$7),Data!$E$4,IF(OR(R10=Data!$E$9,R10=Data!$E$10,R10=Data!$E$11),Data!$E$9,IF(OR(R10=Data!$E$12,R10=Data!$E$13,R10=Data!$E$14),"Cropland",IF(OR(R10=Data!$E$16,R10=Data!$E$17),"Agroforestry",R10))))</f>
        <v>Select land use</v>
      </c>
      <c r="T10" s="109" t="str">
        <f t="shared" si="1"/>
        <v>Please selectPlease selectSelect land use</v>
      </c>
      <c r="U10" s="122">
        <f>IFERROR(IF(S10='ESVD - Land Use &amp; Climate Match'!$A$1,IF('Biodiversity Assessment'!$J$102&gt;0,'Biodiversity Assessment'!$J$102*VLOOKUP('ESVD - Social Value of Bio'!T10&amp;"1",'ESVD - SUMMARY TABLE'!$E$2:$G$294,3,),0)+IF('Biodiversity Assessment'!$J$103&gt;0,'Biodiversity Assessment'!$J$103*VLOOKUP('ESVD - Social Value of Bio'!T10&amp;"2",'ESVD - SUMMARY TABLE'!$E$2:$G$294,3,),0)+IF('Biodiversity Assessment'!$J$104&gt;0,'Biodiversity Assessment'!$J$104*VLOOKUP('ESVD - Social Value of Bio'!T10&amp;"3",'ESVD - SUMMARY TABLE'!$E$2:$G$294,3,),0)+IF('Biodiversity Assessment'!$J$105&gt;0,'Biodiversity Assessment'!$J$105*VLOOKUP('ESVD - Social Value of Bio'!T10&amp;"4",'ESVD - SUMMARY TABLE'!$E$2:$G$294,3,),0),IF(S10='ESVD - Land Use &amp; Climate Match'!$A$11,IF('Biodiversity Assessment'!$Z$102&gt;0,'Biodiversity Assessment'!$Z$102*VLOOKUP('ESVD - Social Value of Bio'!T10&amp;"1",'ESVD - SUMMARY TABLE'!$E$2:$G$294,3,FALSE),0)+IF('Biodiversity Assessment'!$Z$103&gt;0,'Biodiversity Assessment'!$Z$103*VLOOKUP('ESVD - Social Value of Bio'!T10&amp;"2",'ESVD - SUMMARY TABLE'!$E$2:$G$294,3,FALSE),0)+IF('Biodiversity Assessment'!$Z$104&gt;0,'Biodiversity Assessment'!$Z$104*VLOOKUP('ESVD - Social Value of Bio'!T10&amp;"3",'ESVD - SUMMARY TABLE'!$E$2:$G$294,3,FALSE),0)+IF('Biodiversity Assessment'!$Z$105&gt;0,'Biodiversity Assessment'!$Z$105*VLOOKUP('ESVD - Social Value of Bio'!T10&amp;"4",'ESVD - SUMMARY TABLE'!$E$2:$G$294,3,FALSE),0),IF(S10='ESVD - Land Use &amp; Climate Match'!$A$32,IF('Biodiversity Assessment'!$BD$102&gt;0,'Biodiversity Assessment'!$BD$102*VLOOKUP('ESVD - Social Value of Bio'!T10&amp;"1",'ESVD - SUMMARY TABLE'!$E$2:$G$294,3,FALSE),0)+IF('Biodiversity Assessment'!$BD$103&gt;0,'Biodiversity Assessment'!$BD$103*VLOOKUP('ESVD - Social Value of Bio'!T10&amp;"2",'ESVD - SUMMARY TABLE'!$E$2:$G$294,3,FALSE),0)+IF('Biodiversity Assessment'!$BD$104&gt;0,'Biodiversity Assessment'!$BD$104*VLOOKUP('ESVD - Social Value of Bio'!T10&amp;"3",'ESVD - SUMMARY TABLE'!$E$2:$G$294,3,FALSE),0)+IF('Biodiversity Assessment'!$BD$105&gt;0,'Biodiversity Assessment'!$BD$105*VLOOKUP('ESVD - Social Value of Bio'!T10&amp;"4",'ESVD - SUMMARY TABLE'!$E$2:$G$294,3,FALSE),0)+IF('Biodiversity Assessment'!$BD$106&gt;0,'Biodiversity Assessment'!$BD$106*VLOOKUP('ESVD - Social Value of Bio'!T10&amp;"5",'ESVD - SUMMARY TABLE'!$E$2:$G$294,3,FALSE),0),AVERAGE(IF('Biodiversity Assessment'!$J$102&gt;0,'Biodiversity Assessment'!$J$102*VLOOKUP(CONCATENATE(B10,C10,'ESVD - Land Use &amp; Climate Match'!$A$1)&amp;"1",'ESVD - SUMMARY TABLE'!$E$2:$G$294,3,),0)+IF('Biodiversity Assessment'!$J$103&gt;0,'Biodiversity Assessment'!$J$103*VLOOKUP(CONCATENATE(B10,C10,'ESVD - Land Use &amp; Climate Match'!$A$1)&amp;"2",'ESVD - SUMMARY TABLE'!$E$2:$G$294,3,),0)+IF('Biodiversity Assessment'!$J$104&gt;0,'Biodiversity Assessment'!$J$104*VLOOKUP(CONCATENATE(B10,C10,'ESVD - Land Use &amp; Climate Match'!$A$1)&amp;"3",'ESVD - SUMMARY TABLE'!$E$2:$G$294,3,),0)+IF('Biodiversity Assessment'!$J$105&gt;0,'Biodiversity Assessment'!$J$105*VLOOKUP(CONCATENATE(B10,C10,'ESVD - Land Use &amp; Climate Match'!$A$1)&amp;"4",'ESVD - SUMMARY TABLE'!$E$2:$G$294,3,),0),IF('Biodiversity Assessment'!$Z$102&gt;0,'Biodiversity Assessment'!$Z$102*VLOOKUP(CONCATENATE(B10,C10,'ESVD - Land Use &amp; Climate Match'!$A$11)&amp;"1",'ESVD - SUMMARY TABLE'!$E$2:$G$294,3,FALSE),0)+IF('Biodiversity Assessment'!$Z$103&gt;0,'Biodiversity Assessment'!$Z$103*VLOOKUP(CONCATENATE(B10,C10,'ESVD - Land Use &amp; Climate Match'!$A$11)&amp;"2",'ESVD - SUMMARY TABLE'!$E$2:$G$294,3,FALSE),0)+IF('Biodiversity Assessment'!$Z$104&gt;0,'Biodiversity Assessment'!$Z$104*VLOOKUP(CONCATENATE(B10,C10,'ESVD - Land Use &amp; Climate Match'!$A$11)&amp;"3",'ESVD - SUMMARY TABLE'!$E$2:$G$294,3,FALSE),0)+IF('Biodiversity Assessment'!$Z$105&gt;0,'Biodiversity Assessment'!$Z$105*VLOOKUP(CONCATENATE(B10,C10,'ESVD - Land Use &amp; Climate Match'!$A$11)&amp;"4",'ESVD - SUMMARY TABLE'!$E$2:$G$294,3,FALSE),0),IF('Biodiversity Assessment'!$BD$102&gt;0,'Biodiversity Assessment'!$BD$102*VLOOKUP(CONCATENATE(B10,C10,'ESVD - Land Use &amp; Climate Match'!$A$32)&amp;"1",'ESVD - SUMMARY TABLE'!$E$2:$G$294,3,FALSE),0)+IF('Biodiversity Assessment'!$BD$103&gt;0,'Biodiversity Assessment'!$BD$103*VLOOKUP(CONCATENATE(B10,C10,'ESVD - Land Use &amp; Climate Match'!$A$32)&amp;"2",'ESVD - SUMMARY TABLE'!$E$2:$G$294,3,FALSE),0)+IF('Biodiversity Assessment'!$BD$104&gt;0,'Biodiversity Assessment'!$BD$104*VLOOKUP(CONCATENATE(B10,C10,'ESVD - Land Use &amp; Climate Match'!$A$32)&amp;"3",'ESVD - SUMMARY TABLE'!$E$2:$G$294,3,FALSE),0)+IF('Biodiversity Assessment'!$BD$105&gt;0,'Biodiversity Assessment'!$BD$105*VLOOKUP(CONCATENATE(B10,C10,'ESVD - Land Use &amp; Climate Match'!$A$32)&amp;"4",'ESVD - SUMMARY TABLE'!$E$2:$G$294,3,FALSE),0)+IF('Biodiversity Assessment'!$BD$106&gt;0,'Biodiversity Assessment'!$BD$106*VLOOKUP(CONCATENATE(B10,C10,'ESVD - Land Use &amp; Climate Match'!$A$32)&amp;"5",'ESVD - SUMMARY TABLE'!$E$2:$G$294,3,FALSE)))))),0)</f>
        <v>0</v>
      </c>
      <c r="V10" s="122">
        <f>IFERROR(IF(S10='ESVD - Land Use &amp; Climate Match'!$A$1,IF(SUM('Biodiversity Assessment'!$O$102:$P$105)=SUM('Biodiversity Assessment'!$J$102:$M$105),IF('Biodiversity Assessment'!$O$102&gt;0,'Biodiversity Assessment'!$O$102*VLOOKUP('ESVD - Social Value of Bio'!T10&amp;"1",'ESVD - SUMMARY TABLE'!$E$2:$G$294,3,),0)+IF('Biodiversity Assessment'!$O$103&gt;0,'Biodiversity Assessment'!$O$103*VLOOKUP('ESVD - Social Value of Bio'!T10&amp;"2",'ESVD - SUMMARY TABLE'!$E$2:$G$294,3,),0)+IF('Biodiversity Assessment'!$O$104&gt;0,'Biodiversity Assessment'!$O$104*VLOOKUP('ESVD - Social Value of Bio'!T10&amp;"3",'ESVD - SUMMARY TABLE'!$E$2:$G$294,3,),0)+IF('Biodiversity Assessment'!$O$105&gt;0,'Biodiversity Assessment'!$O$105*VLOOKUP('ESVD - Social Value of Bio'!T10&amp;"4",'ESVD - SUMMARY TABLE'!$E$2:$G$294,3,),0),0),IF(S10='ESVD - Land Use &amp; Climate Match'!$A$11,IF(SUM('Biodiversity Assessment'!$AH$102:$AN$105)=SUM('Biodiversity Assessment'!$Z$102:$AF$105),IF('Biodiversity Assessment'!$AH$102&gt;0,'Biodiversity Assessment'!$AH$102*VLOOKUP('ESVD - Social Value of Bio'!T10&amp;"1",'ESVD - SUMMARY TABLE'!$E$2:$G$294,3,FALSE),0)+IF('Biodiversity Assessment'!$AH$103&gt;0,'Biodiversity Assessment'!$AH$103*VLOOKUP('ESVD - Social Value of Bio'!T10&amp;"2",'ESVD - SUMMARY TABLE'!$E$2:$G$294,3,FALSE),0)+IF('Biodiversity Assessment'!$AH$104&gt;0,'Biodiversity Assessment'!$AH$104*VLOOKUP('ESVD - Social Value of Bio'!T10&amp;"3",'ESVD - SUMMARY TABLE'!$E$2:$G$294,3,FALSE),0)+IF('Biodiversity Assessment'!$AH$105&gt;0,'Biodiversity Assessment'!$AH$105*VLOOKUP('ESVD - Social Value of Bio'!T10&amp;"4",'ESVD - SUMMARY TABLE'!$E$2:$G$294,3,FALSE),0),0),IF(S10='ESVD - Land Use &amp; Climate Match'!$A$32,IF(SUM('Biodiversity Assessment'!$BF$102:$BF$106)=SUM('Biodiversity Assessment'!$BD$102:$BD$106),IF('Biodiversity Assessment'!$BF$102&gt;0,'Biodiversity Assessment'!$BF$102*VLOOKUP('ESVD - Social Value of Bio'!T10&amp;"1",'ESVD - SUMMARY TABLE'!$E$2:$G$294,3,FALSE),0)+IF('Biodiversity Assessment'!$BF$103&gt;0,'Biodiversity Assessment'!$BF$103*VLOOKUP('ESVD - Social Value of Bio'!T10&amp;"2",'ESVD - SUMMARY TABLE'!$E$2:$G$294,3,FALSE),0)+IF('Biodiversity Assessment'!$BF$104&gt;0,'Biodiversity Assessment'!$BF$104*VLOOKUP('ESVD - Social Value of Bio'!T10&amp;"3",'ESVD - SUMMARY TABLE'!$E$2:$G$294,3,FALSE),0)+IF('Biodiversity Assessment'!$BF$105&gt;0,'Biodiversity Assessment'!$BF$105*VLOOKUP('ESVD - Social Value of Bio'!T10&amp;"4",'ESVD - SUMMARY TABLE'!$E$2:$G$294,3,FALSE),0)+IF('Biodiversity Assessment'!$BF$106&gt;0,'Biodiversity Assessment'!$BF$106*VLOOKUP('ESVD - Social Value of Bio'!T10&amp;"5",'ESVD - SUMMARY TABLE'!$E$2:$G$294,3,FALSE),0),0),AVERAGE(IF(SUM('Biodiversity Assessment'!$O$102:$P$105)=SUM('Biodiversity Assessment'!$J$102:$M$105),IF('Biodiversity Assessment'!$O$102&gt;0,'Biodiversity Assessment'!$O$102*VLOOKUP(CONCATENATE($B10,$C10,'ESVD - Land Use &amp; Climate Match'!$A$1)&amp;"1",'ESVD - SUMMARY TABLE'!$E$2:$G$294,3,),0)+IF('Biodiversity Assessment'!$O$103&gt;0,'Biodiversity Assessment'!$O$103*VLOOKUP(CONCATENATE($B10,$C10,'ESVD - Land Use &amp; Climate Match'!$A$1)&amp;"2",'ESVD - SUMMARY TABLE'!$E$2:$G$294,3,),0)+IF('Biodiversity Assessment'!$O$104&gt;0,'Biodiversity Assessment'!$O$104*VLOOKUP(CONCATENATE($B10,$C10,'ESVD - Land Use &amp; Climate Match'!$A$1)&amp;"3",'ESVD - SUMMARY TABLE'!$E$2:$G$294,3,),0)+IF('Biodiversity Assessment'!$O$105&gt;0,'Biodiversity Assessment'!$O$105*VLOOKUP(CONCATENATE($B10,$C10,'ESVD - Land Use &amp; Climate Match'!$A$1)&amp;"4",'ESVD - SUMMARY TABLE'!$E$2:$G$294,3,),0),0),IF(SUM('Biodiversity Assessment'!$AH$102:$AN$105)=SUM('Biodiversity Assessment'!$Z$102:$AF$105),IF('Biodiversity Assessment'!$AH$102&gt;0,'Biodiversity Assessment'!$AH$102*VLOOKUP(CONCATENATE($B10,$C10,'ESVD - Land Use &amp; Climate Match'!$A$11)&amp;"1",'ESVD - SUMMARY TABLE'!$E$2:$G$294,3,FALSE),0)+IF('Biodiversity Assessment'!$AH$103&gt;0,'Biodiversity Assessment'!$AH$103*VLOOKUP(CONCATENATE($B10,$C10,'ESVD - Land Use &amp; Climate Match'!$A$11)&amp;"2",'ESVD - SUMMARY TABLE'!$E$2:$G$294,3,FALSE),0)+IF('Biodiversity Assessment'!$AH$104&gt;0,'Biodiversity Assessment'!$AH$104*VLOOKUP(CONCATENATE($B10,$C10,'ESVD - Land Use &amp; Climate Match'!$A$11)&amp;"3",'ESVD - SUMMARY TABLE'!$E$2:$G$294,3,FALSE),0)+IF('Biodiversity Assessment'!$AH$105&gt;0,'Biodiversity Assessment'!$AH$105*VLOOKUP(CONCATENATE($B10,$C10,'ESVD - Land Use &amp; Climate Match'!$A$11)&amp;"4",'ESVD - SUMMARY TABLE'!$E$2:$G$294,3,FALSE),0),0),IF(SUM('Biodiversity Assessment'!$BF$102:$BF$106)=SUM('Biodiversity Assessment'!$BD$102:$BD$106),IF('Biodiversity Assessment'!$BF$102&gt;0,'Biodiversity Assessment'!$BF$102*VLOOKUP(CONCATENATE($B10,$C10,'ESVD - Land Use &amp; Climate Match'!$A$32)&amp;"1",'ESVD - SUMMARY TABLE'!$E$2:$G$294,3,FALSE),0)+IF('Biodiversity Assessment'!$BF$103&gt;0,'Biodiversity Assessment'!$BF$103*VLOOKUP(CONCATENATE($B10,$C10,'ESVD - Land Use &amp; Climate Match'!$A$32)&amp;"2",'ESVD - SUMMARY TABLE'!$E$2:$G$294,3,FALSE),0)+IF('Biodiversity Assessment'!$BF$104&gt;0,'Biodiversity Assessment'!$BF$104*VLOOKUP(CONCATENATE($B10,$C10,'ESVD - Land Use &amp; Climate Match'!$A$32)&amp;"3",'ESVD - SUMMARY TABLE'!$E$2:$G$294,3,FALSE),0)+IF('Biodiversity Assessment'!$BF$105&gt;0,'Biodiversity Assessment'!$BF$105*VLOOKUP(CONCATENATE($B10,$C10,'ESVD - Land Use &amp; Climate Match'!$A$32)&amp;"4",'ESVD - SUMMARY TABLE'!$E$2:$G$294,3,FALSE),0)+IF('Biodiversity Assessment'!$BF$106&gt;0,'Biodiversity Assessment'!$BF$106*VLOOKUP(CONCATENATE($B10,$C10,'ESVD - Land Use &amp; Climate Match'!$A$32)&amp;"5",'ESVD - SUMMARY TABLE'!$E$2:$G$294,3,FALSE),0),0))))),0)</f>
        <v>0</v>
      </c>
      <c r="W10" s="122">
        <f>'Biodiversity Assessment'!CX25</f>
        <v>0</v>
      </c>
      <c r="X10" s="122">
        <f>IFERROR(IF(W10&gt;0,W10*'Biodiversity Assessment'!$U25,IF(V10&gt;0,V10*'Biodiversity Assessment'!$U25,U10*'Biodiversity Assessment'!$U25)),0)</f>
        <v>0</v>
      </c>
      <c r="Y10" s="454"/>
      <c r="Z10" s="123">
        <f>IFERROR(IF(S10='ESVD - Land Use &amp; Climate Match'!$A$1,IF('Biodiversity Assessment'!$J$102&gt;0,'Biodiversity Assessment'!$J$102*VLOOKUP('ESVD - Social Value of Bio'!T10&amp;"1",'ESVD - SUMMARY TABLE'!$E$2:$G$294,3,),0)+IF('Biodiversity Assessment'!$J$103&gt;0,'Biodiversity Assessment'!$J$103*VLOOKUP('ESVD - Social Value of Bio'!T10&amp;"2",'ESVD - SUMMARY TABLE'!$E$2:$G$294,3,),0)+IF('Biodiversity Assessment'!$J$104&gt;0,'Biodiversity Assessment'!$J$104*VLOOKUP('ESVD - Social Value of Bio'!T10&amp;"3",'ESVD - SUMMARY TABLE'!$E$2:$G$294,3,),0)+IF('Biodiversity Assessment'!$J$105&gt;0,'Biodiversity Assessment'!$J$105*VLOOKUP('ESVD - Social Value of Bio'!T10&amp;"4",'ESVD - SUMMARY TABLE'!$E$2:$G$294,3,),0),IF(S10='ESVD - Land Use &amp; Climate Match'!$A$11,IF('Biodiversity Assessment'!$Z$102&gt;0,'Biodiversity Assessment'!$Z$102*VLOOKUP('ESVD - Social Value of Bio'!T10&amp;"1",'ESVD - SUMMARY TABLE'!$E$2:$G$294,3,FALSE),0)+IF('Biodiversity Assessment'!$Z$103&gt;0,'Biodiversity Assessment'!$Z$103*VLOOKUP('ESVD - Social Value of Bio'!T10&amp;"2",'ESVD - SUMMARY TABLE'!$E$2:$G$294,3,FALSE),0)+IF('Biodiversity Assessment'!$Z$104&gt;0,'Biodiversity Assessment'!$Z$104*VLOOKUP('ESVD - Social Value of Bio'!T10&amp;"3",'ESVD - SUMMARY TABLE'!$E$2:$G$294,3,FALSE),0)+IF('Biodiversity Assessment'!$Z$105&gt;0,'Biodiversity Assessment'!$Z$105*VLOOKUP('ESVD - Social Value of Bio'!T10&amp;"4",'ESVD - SUMMARY TABLE'!$E$2:$G$294,3,FALSE),0),IF(S10='ESVD - Land Use &amp; Climate Match'!$A$32,IF('Biodiversity Assessment'!$BD$102&gt;0,'Biodiversity Assessment'!$BD$102*VLOOKUP('ESVD - Social Value of Bio'!T10&amp;"1",'ESVD - SUMMARY TABLE'!$E$2:$G$294,3,FALSE),0)+IF('Biodiversity Assessment'!$BD$103&gt;0,'Biodiversity Assessment'!$BD$103*VLOOKUP('ESVD - Social Value of Bio'!T10&amp;"2",'ESVD - SUMMARY TABLE'!$E$2:$G$294,3,FALSE),0)+IF('Biodiversity Assessment'!$BD$104&gt;0,'Biodiversity Assessment'!$BD$104*VLOOKUP('ESVD - Social Value of Bio'!T10&amp;"3",'ESVD - SUMMARY TABLE'!$E$2:$G$294,3,FALSE),0)+IF('Biodiversity Assessment'!$BD$105&gt;0,'Biodiversity Assessment'!$BD$105*VLOOKUP('ESVD - Social Value of Bio'!T10&amp;"4",'ESVD - SUMMARY TABLE'!$E$2:$G$294,3,FALSE),0)+IF('Biodiversity Assessment'!$BD$106&gt;0,'Biodiversity Assessment'!$BD$106*VLOOKUP('ESVD - Social Value of Bio'!T10&amp;"5",'ESVD - SUMMARY TABLE'!$E$2:$G$294,3,FALSE),0),VLOOKUP('ESVD - Social Value of Bio'!T10&amp;"1",'ESVD - SUMMARY TABLE'!$E$2:$G$294,3,FALSE)))),0)</f>
        <v>0</v>
      </c>
      <c r="AA10" s="123">
        <f>IFERROR(IF(S10='ESVD - Land Use &amp; Climate Match'!$A$1,IF(SUM('Biodiversity Assessment'!$O$102:$P$105)=SUM('Biodiversity Assessment'!$J$102:$M$105),IF('Biodiversity Assessment'!$O$102&gt;0,'Biodiversity Assessment'!$O$102*VLOOKUP('ESVD - Social Value of Bio'!T10&amp;"1",'ESVD - SUMMARY TABLE'!$E$2:$G$294,3,),0)+IF('Biodiversity Assessment'!$O$103&gt;0,'Biodiversity Assessment'!$O$103*VLOOKUP('ESVD - Social Value of Bio'!T10&amp;"2",'ESVD - SUMMARY TABLE'!$E$2:$G$294,3,),0)+IF('Biodiversity Assessment'!$O$104&gt;0,'Biodiversity Assessment'!$O$104*VLOOKUP('ESVD - Social Value of Bio'!T10&amp;"3",'ESVD - SUMMARY TABLE'!$E$2:$G$294,3,),0)+IF('Biodiversity Assessment'!$O$105&gt;0,'Biodiversity Assessment'!$O$105*VLOOKUP('ESVD - Social Value of Bio'!T10&amp;"4",'ESVD - SUMMARY TABLE'!$E$2:$G$294,3,),0),0),IF(S10='ESVD - Land Use &amp; Climate Match'!$A$11,IF(SUM('Biodiversity Assessment'!$AH$102:$AN$105)=SUM('Biodiversity Assessment'!$Z$102:$AF$105),IF('Biodiversity Assessment'!$AH$102&gt;0,'Biodiversity Assessment'!$AH$102*VLOOKUP('ESVD - Social Value of Bio'!T10&amp;"1",'ESVD - SUMMARY TABLE'!$E$2:$G$294,3,FALSE),0)+IF('Biodiversity Assessment'!$AH$103&gt;0,'Biodiversity Assessment'!$AH$103*VLOOKUP('ESVD - Social Value of Bio'!T10&amp;"2",'ESVD - SUMMARY TABLE'!$E$2:$G$294,3,FALSE),0)+IF('Biodiversity Assessment'!$AH$104&gt;0,'Biodiversity Assessment'!$AH$104*VLOOKUP('ESVD - Social Value of Bio'!T10&amp;"3",'ESVD - SUMMARY TABLE'!$E$2:$G$294,3,FALSE),0)+IF('Biodiversity Assessment'!$AH$105&gt;0,'Biodiversity Assessment'!$AH$105*VLOOKUP('ESVD - Social Value of Bio'!T10&amp;"4",'ESVD - SUMMARY TABLE'!$E$2:$G$294,3,FALSE),0),0),IF(S10='ESVD - Land Use &amp; Climate Match'!$A$32,IF(SUM('Biodiversity Assessment'!$BF$102:$BF$106)=SUM('Biodiversity Assessment'!$BD$102:$BD$106),IF('Biodiversity Assessment'!$BF$102&gt;0,'Biodiversity Assessment'!$BF$102*VLOOKUP('ESVD - Social Value of Bio'!T10&amp;"1",'ESVD - SUMMARY TABLE'!$E$2:$G$294,3,FALSE),0)+IF('Biodiversity Assessment'!$BF$103&gt;0,'Biodiversity Assessment'!$BF$103*VLOOKUP('ESVD - Social Value of Bio'!T10&amp;"2",'ESVD - SUMMARY TABLE'!$E$2:$G$294,3,FALSE),0)+IF('Biodiversity Assessment'!$BF$104&gt;0,'Biodiversity Assessment'!$BF$104*VLOOKUP('ESVD - Social Value of Bio'!T10&amp;"3",'ESVD - SUMMARY TABLE'!$E$2:$G$294,3,FALSE),0)+IF('Biodiversity Assessment'!$BF$105&gt;0,'Biodiversity Assessment'!$BF$105*VLOOKUP('ESVD - Social Value of Bio'!T10&amp;"4",'ESVD - SUMMARY TABLE'!$E$2:$G$294,3,FALSE),0)+IF('Biodiversity Assessment'!$BF$106&gt;0,'Biodiversity Assessment'!$BF$106*VLOOKUP('ESVD - Social Value of Bio'!T10&amp;"5",'ESVD - SUMMARY TABLE'!$E$2:$G$294,3,FALSE),0),0),VLOOKUP('ESVD - Social Value of Bio'!T10&amp;"1",'ESVD - SUMMARY TABLE'!$E$2:$G$294,3,FALSE)))),0)</f>
        <v>0</v>
      </c>
      <c r="AB10" s="123">
        <f>'Biodiversity Assessment'!CX25</f>
        <v>0</v>
      </c>
      <c r="AC10" s="124">
        <f>IFERROR(IF(AB10&gt;0,AB10*'Biodiversity Assessment'!U25,IF(AA10&gt;0,AA10*'Biodiversity Assessment'!U25,Z10*'Biodiversity Assessment'!U25)),0)</f>
        <v>0</v>
      </c>
      <c r="AD10" s="456"/>
      <c r="AG10" s="453"/>
    </row>
    <row r="11" spans="1:33" s="110" customFormat="1" ht="10.5" x14ac:dyDescent="0.25">
      <c r="A11" s="107" t="s">
        <v>216</v>
      </c>
      <c r="B11" s="108" t="str">
        <f>IF(Start!$D$28&gt;1000,CONCATENATE(Start!$D$20," Mountain"),Start!$D$20)</f>
        <v>Please select</v>
      </c>
      <c r="C11" s="108" t="str">
        <f>Start!$D$24</f>
        <v>Please select</v>
      </c>
      <c r="D11" s="109" t="str">
        <f>'Biodiversity Assessment'!G26</f>
        <v>Select land use</v>
      </c>
      <c r="E11" s="109" t="str">
        <f>IF(OR(D11=Data!$E$4,D11=Data!$E$5,D11=Data!$E$6,D11=Data!$E$7),Data!$E$4,IF(OR(D11=Data!$E$9,D11=Data!$E$10,D11=Data!$E$11),Data!$E$9,IF(OR(D11=Data!$E$12,D11=Data!$E$13,D11=Data!$E$14),"Cropland",IF(OR(D11=Data!$E$16,D11=Data!$E$17),"Agroforestry",D11))))</f>
        <v>Select land use</v>
      </c>
      <c r="F11" s="109" t="str">
        <f t="shared" si="0"/>
        <v>Please selectPlease selectSelect land use</v>
      </c>
      <c r="G11" s="122">
        <f>IFERROR(IF(E11='ESVD - Land Use &amp; Climate Match'!$A$1,IF('Biodiversity Assessment'!$J$102&gt;0,'Biodiversity Assessment'!$J$102*VLOOKUP('ESVD - Social Value of Bio'!F11&amp;"1",'ESVD - SUMMARY TABLE'!$E$2:$G$294,3,),0)+IF('Biodiversity Assessment'!$J$103&gt;0,'Biodiversity Assessment'!$J$103*VLOOKUP('ESVD - Social Value of Bio'!F11&amp;"2",'ESVD - SUMMARY TABLE'!$E$2:$G$294,3,),0)+IF('Biodiversity Assessment'!$J$104&gt;0,'Biodiversity Assessment'!$J$104*VLOOKUP('ESVD - Social Value of Bio'!F11&amp;"3",'ESVD - SUMMARY TABLE'!$E$2:$G$294,3,),0)+IF('Biodiversity Assessment'!$J$105&gt;0,'Biodiversity Assessment'!$J$105*VLOOKUP('ESVD - Social Value of Bio'!F11&amp;"4",'ESVD - SUMMARY TABLE'!$E$2:$G$294,3,),0),IF(E11='ESVD - Land Use &amp; Climate Match'!$A$11,IF('Biodiversity Assessment'!$Z$102&gt;0,'Biodiversity Assessment'!$Z$102*VLOOKUP('ESVD - Social Value of Bio'!F11&amp;"1",'ESVD - SUMMARY TABLE'!$E$2:$G$294,3,FALSE),0)+IF('Biodiversity Assessment'!$Z$103&gt;0,'Biodiversity Assessment'!$Z$103*VLOOKUP('ESVD - Social Value of Bio'!F11&amp;"2",'ESVD - SUMMARY TABLE'!$E$2:$G$294,3,FALSE),0)+IF('Biodiversity Assessment'!$Z$104&gt;0,'Biodiversity Assessment'!$Z$104*VLOOKUP('ESVD - Social Value of Bio'!F11&amp;"3",'ESVD - SUMMARY TABLE'!$E$2:$G$294,3,FALSE),0)+IF('Biodiversity Assessment'!$Z$105&gt;0,'Biodiversity Assessment'!$Z$105*VLOOKUP('ESVD - Social Value of Bio'!F11&amp;"4",'ESVD - SUMMARY TABLE'!$E$2:$G$294,3,FALSE),0),IF(E11='ESVD - Land Use &amp; Climate Match'!$A$32,IF('Biodiversity Assessment'!$BD$102&gt;0,'Biodiversity Assessment'!$BD$102*VLOOKUP('ESVD - Social Value of Bio'!F11&amp;"1",'ESVD - SUMMARY TABLE'!$E$2:$G$294,3,FALSE),0)+IF('Biodiversity Assessment'!$BD$103&gt;0,'Biodiversity Assessment'!$BD$103*VLOOKUP('ESVD - Social Value of Bio'!F11&amp;"2",'ESVD - SUMMARY TABLE'!$E$2:$G$294,3,FALSE),0)+IF('Biodiversity Assessment'!$BD$104&gt;0,'Biodiversity Assessment'!$BD$104*VLOOKUP('ESVD - Social Value of Bio'!F11&amp;"3",'ESVD - SUMMARY TABLE'!$E$2:$G$294,3,FALSE),0)+IF('Biodiversity Assessment'!$BD$105&gt;0,'Biodiversity Assessment'!$BD$105*VLOOKUP('ESVD - Social Value of Bio'!F11&amp;"4",'ESVD - SUMMARY TABLE'!$E$2:$G$294,3,FALSE),0)+IF('Biodiversity Assessment'!$BD$106&gt;0,'Biodiversity Assessment'!$BD$106*VLOOKUP('ESVD - Social Value of Bio'!F11&amp;"5",'ESVD - SUMMARY TABLE'!$E$2:$G$294,3,FALSE),0),AVERAGE(IF('Biodiversity Assessment'!$J$102&gt;0,'Biodiversity Assessment'!$J$102*VLOOKUP(CONCATENATE($B11,$C11,'ESVD - Land Use &amp; Climate Match'!$A$1)&amp;"1",'ESVD - SUMMARY TABLE'!$E$2:$G$294,3,),0)+IF('Biodiversity Assessment'!$J$103&gt;0,'Biodiversity Assessment'!$J$103*VLOOKUP(CONCATENATE($B11,$C11,'ESVD - Land Use &amp; Climate Match'!$A$1)&amp;"2",'ESVD - SUMMARY TABLE'!$E$2:$G$294,3,),0)+IF('Biodiversity Assessment'!$J$104&gt;0,'Biodiversity Assessment'!$J$104*VLOOKUP(CONCATENATE($B11,$C11,'ESVD - Land Use &amp; Climate Match'!$A$1)&amp;"3",'ESVD - SUMMARY TABLE'!$E$2:$G$294,3,),0)+IF('Biodiversity Assessment'!$J$105&gt;0,'Biodiversity Assessment'!$J$105*VLOOKUP(CONCATENATE($B11,$C11,'ESVD - Land Use &amp; Climate Match'!$A$1)&amp;"4",'ESVD - SUMMARY TABLE'!$E$2:$G$294,3,),0),IF('Biodiversity Assessment'!$Z$102&gt;0,'Biodiversity Assessment'!$Z$102*VLOOKUP(CONCATENATE($B11,$C11,'ESVD - Land Use &amp; Climate Match'!$A$11)&amp;"1",'ESVD - SUMMARY TABLE'!$E$2:$G$294,3,FALSE),0)+IF('Biodiversity Assessment'!$Z$103&gt;0,'Biodiversity Assessment'!$Z$103*VLOOKUP(CONCATENATE($B11,$C11,'ESVD - Land Use &amp; Climate Match'!$A$11)&amp;"2",'ESVD - SUMMARY TABLE'!$E$2:$G$294,3,FALSE),0)+IF('Biodiversity Assessment'!$Z$104&gt;0,'Biodiversity Assessment'!$Z$104*VLOOKUP(CONCATENATE($B11,$C11,'ESVD - Land Use &amp; Climate Match'!$A$11)&amp;"3",'ESVD - SUMMARY TABLE'!$E$2:$G$294,3,FALSE),0)+IF('Biodiversity Assessment'!$Z$105&gt;0,'Biodiversity Assessment'!$Z$105*VLOOKUP(CONCATENATE($B11,$C11,'ESVD - Land Use &amp; Climate Match'!$A$11)&amp;"4",'ESVD - SUMMARY TABLE'!$E$2:$G$294,3,FALSE),0),IF('Biodiversity Assessment'!$BD$102&gt;0,'Biodiversity Assessment'!$BD$102*VLOOKUP(CONCATENATE($B11,$C11,'ESVD - Land Use &amp; Climate Match'!$A$32)&amp;"1",'ESVD - SUMMARY TABLE'!$E$2:$G$294,3,FALSE),0)+IF('Biodiversity Assessment'!$BD$103&gt;0,'Biodiversity Assessment'!$BD$103*VLOOKUP(CONCATENATE($B11,$C11,'ESVD - Land Use &amp; Climate Match'!$A$32)&amp;"2",'ESVD - SUMMARY TABLE'!$E$2:$G$294,3,FALSE),0)+IF('Biodiversity Assessment'!$BD$104&gt;0,'Biodiversity Assessment'!$BD$104*VLOOKUP(CONCATENATE($B11,$C11,'ESVD - Land Use &amp; Climate Match'!$A$32)&amp;"3",'ESVD - SUMMARY TABLE'!$E$2:$G$294,3,FALSE),0)+IF('Biodiversity Assessment'!$BD$105&gt;0,'Biodiversity Assessment'!$BD$105*VLOOKUP(CONCATENATE($B11,$C11,'ESVD - Land Use &amp; Climate Match'!$A$32)&amp;"4",'ESVD - SUMMARY TABLE'!$E$2:$G$294,3,FALSE),0)+IF('Biodiversity Assessment'!$BD$106&gt;0,'Biodiversity Assessment'!$BD$106*VLOOKUP(CONCATENATE($B11,$C11,'ESVD - Land Use &amp; Climate Match'!$A$32)&amp;"5",'ESVD - SUMMARY TABLE'!$E$2:$G$294,3,FALSE)))))),0)</f>
        <v>0</v>
      </c>
      <c r="H11" s="122">
        <f>IFERROR(IF(E11='ESVD - Land Use &amp; Climate Match'!$A$1,IF(SUM('Biodiversity Assessment'!$O$102:$P$105)=SUM('Biodiversity Assessment'!$J$102:$M$105),IF('Biodiversity Assessment'!$O$102&gt;0,'Biodiversity Assessment'!$O$102*VLOOKUP('ESVD - Social Value of Bio'!F11&amp;"1",'ESVD - SUMMARY TABLE'!$E$2:$G$294,3,),0)+IF('Biodiversity Assessment'!$O$103&gt;0,'Biodiversity Assessment'!$O$103*VLOOKUP('ESVD - Social Value of Bio'!F11&amp;"2",'ESVD - SUMMARY TABLE'!$E$2:$G$294,3,),0)+IF('Biodiversity Assessment'!$O$104&gt;0,'Biodiversity Assessment'!$O$104*VLOOKUP('ESVD - Social Value of Bio'!F11&amp;"3",'ESVD - SUMMARY TABLE'!$E$2:$G$294,3,),0)+IF('Biodiversity Assessment'!$O$105&gt;0,'Biodiversity Assessment'!$O$105*VLOOKUP('ESVD - Social Value of Bio'!F11&amp;"4",'ESVD - SUMMARY TABLE'!$E$2:$G$294,3,),0),0),IF(E11='ESVD - Land Use &amp; Climate Match'!$A$11,IF(SUM('Biodiversity Assessment'!$AH$102:$AN$105)=SUM('Biodiversity Assessment'!$Z$102:$AF$105),IF('Biodiversity Assessment'!$AH$102&gt;0,'Biodiversity Assessment'!$AH$102*VLOOKUP('ESVD - Social Value of Bio'!F11&amp;"1",'ESVD - SUMMARY TABLE'!$E$2:$G$294,3,FALSE),0)+IF('Biodiversity Assessment'!$AH$103&gt;0,'Biodiversity Assessment'!$AH$103*VLOOKUP('ESVD - Social Value of Bio'!F11&amp;"2",'ESVD - SUMMARY TABLE'!$E$2:$G$294,3,FALSE),0)+IF('Biodiversity Assessment'!$AH$104&gt;0,'Biodiversity Assessment'!$AH$104*VLOOKUP('ESVD - Social Value of Bio'!F11&amp;"3",'ESVD - SUMMARY TABLE'!$E$2:$G$294,3,FALSE),0)+IF('Biodiversity Assessment'!$AH$105&gt;0,'Biodiversity Assessment'!$AH$105*VLOOKUP('ESVD - Social Value of Bio'!F11&amp;"4",'ESVD - SUMMARY TABLE'!$E$2:$G$294,3,FALSE),0),0),IF(E11='ESVD - Land Use &amp; Climate Match'!$A$32,IF(SUM('Biodiversity Assessment'!$BF$102:$BF$106)=SUM('Biodiversity Assessment'!$BD$102:$BD$106),IF('Biodiversity Assessment'!$BF$102&gt;0,'Biodiversity Assessment'!$BF$102*VLOOKUP('ESVD - Social Value of Bio'!F11&amp;"1",'ESVD - SUMMARY TABLE'!$E$2:$G$294,3,FALSE),0)+IF('Biodiversity Assessment'!$BF$103&gt;0,'Biodiversity Assessment'!$BF$103*VLOOKUP('ESVD - Social Value of Bio'!F11&amp;"2",'ESVD - SUMMARY TABLE'!$E$2:$G$294,3,FALSE),0)+IF('Biodiversity Assessment'!$BF$104&gt;0,'Biodiversity Assessment'!$BF$104*VLOOKUP('ESVD - Social Value of Bio'!F11&amp;"3",'ESVD - SUMMARY TABLE'!$E$2:$G$294,3,FALSE),0)+IF('Biodiversity Assessment'!$BF$105&gt;0,'Biodiversity Assessment'!$BF$105*VLOOKUP('ESVD - Social Value of Bio'!F11&amp;"4",'ESVD - SUMMARY TABLE'!$E$2:$G$294,3,FALSE),0)+IF('Biodiversity Assessment'!$BF$106&gt;0,'Biodiversity Assessment'!$BF$106*VLOOKUP('ESVD - Social Value of Bio'!F11&amp;"5",'ESVD - SUMMARY TABLE'!$E$2:$G$294,3,FALSE),0),0),AVERAGE(IF(SUM('Biodiversity Assessment'!$O$102:$P$105)=SUM('Biodiversity Assessment'!$J$102:$M$105),IF('Biodiversity Assessment'!$O$102&gt;0,'Biodiversity Assessment'!$O$102*VLOOKUP(CONCATENATE($B11,$C11,'ESVD - Land Use &amp; Climate Match'!$A$1)&amp;"1",'ESVD - SUMMARY TABLE'!$E$2:$G$294,3,),0)+IF('Biodiversity Assessment'!$O$103&gt;0,'Biodiversity Assessment'!$O$103*VLOOKUP(CONCATENATE($B11,$C11,'ESVD - Land Use &amp; Climate Match'!$A$1)&amp;"2",'ESVD - SUMMARY TABLE'!$E$2:$G$294,3,),0)+IF('Biodiversity Assessment'!$O$104&gt;0,'Biodiversity Assessment'!$O$104*VLOOKUP(CONCATENATE($B11,$C11,'ESVD - Land Use &amp; Climate Match'!$A$1)&amp;"3",'ESVD - SUMMARY TABLE'!$E$2:$G$294,3,),0)+IF('Biodiversity Assessment'!$O$105&gt;0,'Biodiversity Assessment'!$O$105*VLOOKUP(CONCATENATE($B11,$C11,'ESVD - Land Use &amp; Climate Match'!$A$1)&amp;"4",'ESVD - SUMMARY TABLE'!$E$2:$G$294,3,),0),0),IF(SUM('Biodiversity Assessment'!$AH$102:$AN$105)=SUM('Biodiversity Assessment'!$Z$102:$AF$105),IF('Biodiversity Assessment'!$AH$102&gt;0,'Biodiversity Assessment'!$AH$102*VLOOKUP(CONCATENATE($B11,$C11,'ESVD - Land Use &amp; Climate Match'!$A$11)&amp;"1",'ESVD - SUMMARY TABLE'!$E$2:$G$294,3,FALSE),0)+IF('Biodiversity Assessment'!$AH$103&gt;0,'Biodiversity Assessment'!$AH$103*VLOOKUP(CONCATENATE($B11,$C11,'ESVD - Land Use &amp; Climate Match'!$A$11)&amp;"2",'ESVD - SUMMARY TABLE'!$E$2:$G$294,3,FALSE),0)+IF('Biodiversity Assessment'!$AH$104&gt;0,'Biodiversity Assessment'!$AH$104*VLOOKUP(CONCATENATE($B11,$C11,'ESVD - Land Use &amp; Climate Match'!$A$11)&amp;"3",'ESVD - SUMMARY TABLE'!$E$2:$G$294,3,FALSE),0)+IF('Biodiversity Assessment'!$AH$105&gt;0,'Biodiversity Assessment'!$AH$105*VLOOKUP(CONCATENATE($B11,$C11,'ESVD - Land Use &amp; Climate Match'!$A$11)&amp;"4",'ESVD - SUMMARY TABLE'!$E$2:$G$294,3,FALSE),0),0),IF(SUM('Biodiversity Assessment'!$BF$102:$BF$106)=SUM('Biodiversity Assessment'!$BD$102:$BD$106),IF('Biodiversity Assessment'!$BF$102&gt;0,'Biodiversity Assessment'!$BF$102*VLOOKUP(CONCATENATE($B11,$C11,'ESVD - Land Use &amp; Climate Match'!$A$32)&amp;"1",'ESVD - SUMMARY TABLE'!$E$2:$G$294,3,FALSE),0)+IF('Biodiversity Assessment'!$BF$103&gt;0,'Biodiversity Assessment'!$BF$103*VLOOKUP(CONCATENATE($B11,$C11,'ESVD - Land Use &amp; Climate Match'!$A$32)&amp;"2",'ESVD - SUMMARY TABLE'!$E$2:$G$294,3,FALSE),0)+IF('Biodiversity Assessment'!$BF$104&gt;0,'Biodiversity Assessment'!$BF$104*VLOOKUP(CONCATENATE($B11,$C11,'ESVD - Land Use &amp; Climate Match'!$A$32)&amp;"3",'ESVD - SUMMARY TABLE'!$E$2:$G$294,3,FALSE),0)+IF('Biodiversity Assessment'!$BF$105&gt;0,'Biodiversity Assessment'!$BF$105*VLOOKUP(CONCATENATE($B11,$C11,'ESVD - Land Use &amp; Climate Match'!$A$32)&amp;"4",'ESVD - SUMMARY TABLE'!$E$2:$G$294,3,FALSE),0)+IF('Biodiversity Assessment'!$BF$106&gt;0,'Biodiversity Assessment'!$BF$106*VLOOKUP(CONCATENATE($B11,$C11,'ESVD - Land Use &amp; Climate Match'!$A$32)&amp;"5",'ESVD - SUMMARY TABLE'!$E$2:$G$294,3,FALSE),0),0))))),0)</f>
        <v>0</v>
      </c>
      <c r="I11" s="122">
        <f>'Biodiversity Assessment'!CR26</f>
        <v>0</v>
      </c>
      <c r="J11" s="122">
        <f>IFERROR(IF(I11&gt;0,I11*'Biodiversity Assessment'!$M26,IF(H11&gt;0,H11*'Biodiversity Assessment'!$M26,G11*'Biodiversity Assessment'!$M26)),0)</f>
        <v>0</v>
      </c>
      <c r="K11" s="454"/>
      <c r="L11" s="123">
        <f>IFERROR(IF(E11='ESVD - Land Use &amp; Climate Match'!$A$1,IF('Biodiversity Assessment'!$J$102&gt;0,'Biodiversity Assessment'!$J$102*VLOOKUP('ESVD - Social Value of Bio'!F11&amp;"1",'ESVD - SUMMARY TABLE'!$E$2:$G$294,3,),0)+IF('Biodiversity Assessment'!$J$103&gt;0,'Biodiversity Assessment'!$J$103*VLOOKUP('ESVD - Social Value of Bio'!F11&amp;"2",'ESVD - SUMMARY TABLE'!$E$2:$G$294,3,),0)+IF('Biodiversity Assessment'!$J$104&gt;0,'Biodiversity Assessment'!$J$104*VLOOKUP('ESVD - Social Value of Bio'!F11&amp;"3",'ESVD - SUMMARY TABLE'!$E$2:$G$294,3,),0)+IF('Biodiversity Assessment'!$J$105&gt;0,'Biodiversity Assessment'!$J$105*VLOOKUP('ESVD - Social Value of Bio'!F11&amp;"4",'ESVD - SUMMARY TABLE'!$E$2:$G$294,3,),0),IF(E11='ESVD - Land Use &amp; Climate Match'!$A$11,IF('Biodiversity Assessment'!$Z$102&gt;0,'Biodiversity Assessment'!$Z$102*VLOOKUP('ESVD - Social Value of Bio'!F11&amp;"1",'ESVD - SUMMARY TABLE'!$E$2:$G$294,3,FALSE),0)+IF('Biodiversity Assessment'!$Z$103&gt;0,'Biodiversity Assessment'!$Z$103*VLOOKUP('ESVD - Social Value of Bio'!F11&amp;"2",'ESVD - SUMMARY TABLE'!$E$2:$G$294,3,FALSE),0)+IF('Biodiversity Assessment'!$Z$104&gt;0,'Biodiversity Assessment'!$Z$104*VLOOKUP('ESVD - Social Value of Bio'!F11&amp;"3",'ESVD - SUMMARY TABLE'!$E$2:$G$294,3,FALSE),0)+IF('Biodiversity Assessment'!$Z$105&gt;0,'Biodiversity Assessment'!$Z$105*VLOOKUP('ESVD - Social Value of Bio'!F11&amp;"4",'ESVD - SUMMARY TABLE'!$E$2:$G$294,3,FALSE),0),IF(E11='ESVD - Land Use &amp; Climate Match'!$A$32,IF('Biodiversity Assessment'!$BD$102&gt;0,'Biodiversity Assessment'!$BD$102*VLOOKUP('ESVD - Social Value of Bio'!F11&amp;"1",'ESVD - SUMMARY TABLE'!$E$2:$G$294,3,FALSE),0)+IF('Biodiversity Assessment'!$BD$103&gt;0,'Biodiversity Assessment'!$BD$103*VLOOKUP('ESVD - Social Value of Bio'!F11&amp;"2",'ESVD - SUMMARY TABLE'!$E$2:$G$294,3,FALSE),0)+IF('Biodiversity Assessment'!$BD$104&gt;0,'Biodiversity Assessment'!$BD$104*VLOOKUP('ESVD - Social Value of Bio'!F11&amp;"3",'ESVD - SUMMARY TABLE'!$E$2:$G$294,3,FALSE),0)+IF('Biodiversity Assessment'!$BD$105&gt;0,'Biodiversity Assessment'!$BD$105*VLOOKUP('ESVD - Social Value of Bio'!F11&amp;"4",'ESVD - SUMMARY TABLE'!$E$2:$G$294,3,FALSE),0)+IF('Biodiversity Assessment'!$BD$106&gt;0,'Biodiversity Assessment'!$BD$106*VLOOKUP('ESVD - Social Value of Bio'!F11&amp;"5",'ESVD - SUMMARY TABLE'!$E$2:$G$294,3,FALSE),0),VLOOKUP('ESVD - Social Value of Bio'!F11&amp;"1",'ESVD - SUMMARY TABLE'!$E$2:$G$294,3,FALSE)))),0)</f>
        <v>0</v>
      </c>
      <c r="M11" s="123">
        <f>IFERROR(IF(E11='ESVD - Land Use &amp; Climate Match'!$A$1,IF(SUM('Biodiversity Assessment'!$O$102:$P$105)=SUM('Biodiversity Assessment'!$J$102:$M$105),IF('Biodiversity Assessment'!$O$102&gt;0,'Biodiversity Assessment'!$O$102*VLOOKUP('ESVD - Social Value of Bio'!F11&amp;"1",'ESVD - SUMMARY TABLE'!$E$2:$G$294,3,),0)+IF('Biodiversity Assessment'!$O$103&gt;0,'Biodiversity Assessment'!$O$103*VLOOKUP('ESVD - Social Value of Bio'!F11&amp;"2",'ESVD - SUMMARY TABLE'!$E$2:$G$294,3,),0)+IF('Biodiversity Assessment'!$O$104&gt;0,'Biodiversity Assessment'!$O$104*VLOOKUP('ESVD - Social Value of Bio'!F11&amp;"3",'ESVD - SUMMARY TABLE'!$E$2:$G$294,3,),0)+IF('Biodiversity Assessment'!$O$105&gt;0,'Biodiversity Assessment'!$O$105*VLOOKUP('ESVD - Social Value of Bio'!F11&amp;"4",'ESVD - SUMMARY TABLE'!$E$2:$G$294,3,),0),0),IF(E11='ESVD - Land Use &amp; Climate Match'!$A$11,IF(SUM('Biodiversity Assessment'!$AH$102:$AN$105)=SUM('Biodiversity Assessment'!$Z$102:$AF$105),IF('Biodiversity Assessment'!$AH$102&gt;0,'Biodiversity Assessment'!$AH$102*VLOOKUP('ESVD - Social Value of Bio'!F11&amp;"1",'ESVD - SUMMARY TABLE'!$E$2:$G$294,3,FALSE),0)+IF('Biodiversity Assessment'!$AH$103&gt;0,'Biodiversity Assessment'!$AH$103*VLOOKUP('ESVD - Social Value of Bio'!F11&amp;"2",'ESVD - SUMMARY TABLE'!$E$2:$G$294,3,FALSE),0)+IF('Biodiversity Assessment'!$AH$104&gt;0,'Biodiversity Assessment'!$AH$104*VLOOKUP('ESVD - Social Value of Bio'!F11&amp;"3",'ESVD - SUMMARY TABLE'!$E$2:$G$294,3,FALSE),0)+IF('Biodiversity Assessment'!$AH$105&gt;0,'Biodiversity Assessment'!$AH$105*VLOOKUP('ESVD - Social Value of Bio'!F11&amp;"4",'ESVD - SUMMARY TABLE'!$E$2:$G$294,3,FALSE),0),0),IF(E11='ESVD - Land Use &amp; Climate Match'!$A$32,IF(SUM('Biodiversity Assessment'!$BF$102:$BF$106)=SUM('Biodiversity Assessment'!$BD$102:$BD$106),IF('Biodiversity Assessment'!$BF$102&gt;0,'Biodiversity Assessment'!$BF$102*VLOOKUP('ESVD - Social Value of Bio'!F11&amp;"1",'ESVD - SUMMARY TABLE'!$E$2:$G$294,3,FALSE),0)+IF('Biodiversity Assessment'!$BF$103&gt;0,'Biodiversity Assessment'!$BF$103*VLOOKUP('ESVD - Social Value of Bio'!F11&amp;"2",'ESVD - SUMMARY TABLE'!$E$2:$G$294,3,FALSE),0)+IF('Biodiversity Assessment'!$BF$104&gt;0,'Biodiversity Assessment'!$BF$104*VLOOKUP('ESVD - Social Value of Bio'!F11&amp;"3",'ESVD - SUMMARY TABLE'!$E$2:$G$294,3,FALSE),0)+IF('Biodiversity Assessment'!$BF$105&gt;0,'Biodiversity Assessment'!$BF$105*VLOOKUP('ESVD - Social Value of Bio'!F11&amp;"4",'ESVD - SUMMARY TABLE'!$E$2:$G$294,3,FALSE),0)+IF('Biodiversity Assessment'!$BF$106&gt;0,'Biodiversity Assessment'!$BF$106*VLOOKUP('ESVD - Social Value of Bio'!F11&amp;"5",'ESVD - SUMMARY TABLE'!$E$2:$G$294,3,FALSE),0),0),VLOOKUP('ESVD - Social Value of Bio'!F11&amp;"1",'ESVD - SUMMARY TABLE'!$E$2:$G$294,3,FALSE)))),0)</f>
        <v>0</v>
      </c>
      <c r="N11" s="123">
        <f>'Biodiversity Assessment'!CR26</f>
        <v>0</v>
      </c>
      <c r="O11" s="124">
        <f>IFERROR(IF(N11&gt;0,N11*'Biodiversity Assessment'!M26,IF(M11&gt;0,M11*'Biodiversity Assessment'!M26,L11*'Biodiversity Assessment'!M26)),0)</f>
        <v>0</v>
      </c>
      <c r="P11" s="456"/>
      <c r="R11" s="108" t="str">
        <f>'Biodiversity Assessment'!O26</f>
        <v>Select land use</v>
      </c>
      <c r="S11" s="109" t="str">
        <f>IF(OR(R11=Data!$E$4,R11=Data!$E$5,R11=Data!$E$6,R11=Data!$E$7),Data!$E$4,IF(OR(R11=Data!$E$9,R11=Data!$E$10,R11=Data!$E$11),Data!$E$9,IF(OR(R11=Data!$E$12,R11=Data!$E$13,R11=Data!$E$14),"Cropland",IF(OR(R11=Data!$E$16,R11=Data!$E$17),"Agroforestry",R11))))</f>
        <v>Select land use</v>
      </c>
      <c r="T11" s="109" t="str">
        <f t="shared" si="1"/>
        <v>Please selectPlease selectSelect land use</v>
      </c>
      <c r="U11" s="122">
        <f>IFERROR(IF(S11='ESVD - Land Use &amp; Climate Match'!$A$1,IF('Biodiversity Assessment'!$J$102&gt;0,'Biodiversity Assessment'!$J$102*VLOOKUP('ESVD - Social Value of Bio'!T11&amp;"1",'ESVD - SUMMARY TABLE'!$E$2:$G$294,3,),0)+IF('Biodiversity Assessment'!$J$103&gt;0,'Biodiversity Assessment'!$J$103*VLOOKUP('ESVD - Social Value of Bio'!T11&amp;"2",'ESVD - SUMMARY TABLE'!$E$2:$G$294,3,),0)+IF('Biodiversity Assessment'!$J$104&gt;0,'Biodiversity Assessment'!$J$104*VLOOKUP('ESVD - Social Value of Bio'!T11&amp;"3",'ESVD - SUMMARY TABLE'!$E$2:$G$294,3,),0)+IF('Biodiversity Assessment'!$J$105&gt;0,'Biodiversity Assessment'!$J$105*VLOOKUP('ESVD - Social Value of Bio'!T11&amp;"4",'ESVD - SUMMARY TABLE'!$E$2:$G$294,3,),0),IF(S11='ESVD - Land Use &amp; Climate Match'!$A$11,IF('Biodiversity Assessment'!$Z$102&gt;0,'Biodiversity Assessment'!$Z$102*VLOOKUP('ESVD - Social Value of Bio'!T11&amp;"1",'ESVD - SUMMARY TABLE'!$E$2:$G$294,3,FALSE),0)+IF('Biodiversity Assessment'!$Z$103&gt;0,'Biodiversity Assessment'!$Z$103*VLOOKUP('ESVD - Social Value of Bio'!T11&amp;"2",'ESVD - SUMMARY TABLE'!$E$2:$G$294,3,FALSE),0)+IF('Biodiversity Assessment'!$Z$104&gt;0,'Biodiversity Assessment'!$Z$104*VLOOKUP('ESVD - Social Value of Bio'!T11&amp;"3",'ESVD - SUMMARY TABLE'!$E$2:$G$294,3,FALSE),0)+IF('Biodiversity Assessment'!$Z$105&gt;0,'Biodiversity Assessment'!$Z$105*VLOOKUP('ESVD - Social Value of Bio'!T11&amp;"4",'ESVD - SUMMARY TABLE'!$E$2:$G$294,3,FALSE),0),IF(S11='ESVD - Land Use &amp; Climate Match'!$A$32,IF('Biodiversity Assessment'!$BD$102&gt;0,'Biodiversity Assessment'!$BD$102*VLOOKUP('ESVD - Social Value of Bio'!T11&amp;"1",'ESVD - SUMMARY TABLE'!$E$2:$G$294,3,FALSE),0)+IF('Biodiversity Assessment'!$BD$103&gt;0,'Biodiversity Assessment'!$BD$103*VLOOKUP('ESVD - Social Value of Bio'!T11&amp;"2",'ESVD - SUMMARY TABLE'!$E$2:$G$294,3,FALSE),0)+IF('Biodiversity Assessment'!$BD$104&gt;0,'Biodiversity Assessment'!$BD$104*VLOOKUP('ESVD - Social Value of Bio'!T11&amp;"3",'ESVD - SUMMARY TABLE'!$E$2:$G$294,3,FALSE),0)+IF('Biodiversity Assessment'!$BD$105&gt;0,'Biodiversity Assessment'!$BD$105*VLOOKUP('ESVD - Social Value of Bio'!T11&amp;"4",'ESVD - SUMMARY TABLE'!$E$2:$G$294,3,FALSE),0)+IF('Biodiversity Assessment'!$BD$106&gt;0,'Biodiversity Assessment'!$BD$106*VLOOKUP('ESVD - Social Value of Bio'!T11&amp;"5",'ESVD - SUMMARY TABLE'!$E$2:$G$294,3,FALSE),0),AVERAGE(IF('Biodiversity Assessment'!$J$102&gt;0,'Biodiversity Assessment'!$J$102*VLOOKUP(CONCATENATE(B11,C11,'ESVD - Land Use &amp; Climate Match'!$A$1)&amp;"1",'ESVD - SUMMARY TABLE'!$E$2:$G$294,3,),0)+IF('Biodiversity Assessment'!$J$103&gt;0,'Biodiversity Assessment'!$J$103*VLOOKUP(CONCATENATE(B11,C11,'ESVD - Land Use &amp; Climate Match'!$A$1)&amp;"2",'ESVD - SUMMARY TABLE'!$E$2:$G$294,3,),0)+IF('Biodiversity Assessment'!$J$104&gt;0,'Biodiversity Assessment'!$J$104*VLOOKUP(CONCATENATE(B11,C11,'ESVD - Land Use &amp; Climate Match'!$A$1)&amp;"3",'ESVD - SUMMARY TABLE'!$E$2:$G$294,3,),0)+IF('Biodiversity Assessment'!$J$105&gt;0,'Biodiversity Assessment'!$J$105*VLOOKUP(CONCATENATE(B11,C11,'ESVD - Land Use &amp; Climate Match'!$A$1)&amp;"4",'ESVD - SUMMARY TABLE'!$E$2:$G$294,3,),0),IF('Biodiversity Assessment'!$Z$102&gt;0,'Biodiversity Assessment'!$Z$102*VLOOKUP(CONCATENATE(B11,C11,'ESVD - Land Use &amp; Climate Match'!$A$11)&amp;"1",'ESVD - SUMMARY TABLE'!$E$2:$G$294,3,FALSE),0)+IF('Biodiversity Assessment'!$Z$103&gt;0,'Biodiversity Assessment'!$Z$103*VLOOKUP(CONCATENATE(B11,C11,'ESVD - Land Use &amp; Climate Match'!$A$11)&amp;"2",'ESVD - SUMMARY TABLE'!$E$2:$G$294,3,FALSE),0)+IF('Biodiversity Assessment'!$Z$104&gt;0,'Biodiversity Assessment'!$Z$104*VLOOKUP(CONCATENATE(B11,C11,'ESVD - Land Use &amp; Climate Match'!$A$11)&amp;"3",'ESVD - SUMMARY TABLE'!$E$2:$G$294,3,FALSE),0)+IF('Biodiversity Assessment'!$Z$105&gt;0,'Biodiversity Assessment'!$Z$105*VLOOKUP(CONCATENATE(B11,C11,'ESVD - Land Use &amp; Climate Match'!$A$11)&amp;"4",'ESVD - SUMMARY TABLE'!$E$2:$G$294,3,FALSE),0),IF('Biodiversity Assessment'!$BD$102&gt;0,'Biodiversity Assessment'!$BD$102*VLOOKUP(CONCATENATE(B11,C11,'ESVD - Land Use &amp; Climate Match'!$A$32)&amp;"1",'ESVD - SUMMARY TABLE'!$E$2:$G$294,3,FALSE),0)+IF('Biodiversity Assessment'!$BD$103&gt;0,'Biodiversity Assessment'!$BD$103*VLOOKUP(CONCATENATE(B11,C11,'ESVD - Land Use &amp; Climate Match'!$A$32)&amp;"2",'ESVD - SUMMARY TABLE'!$E$2:$G$294,3,FALSE),0)+IF('Biodiversity Assessment'!$BD$104&gt;0,'Biodiversity Assessment'!$BD$104*VLOOKUP(CONCATENATE(B11,C11,'ESVD - Land Use &amp; Climate Match'!$A$32)&amp;"3",'ESVD - SUMMARY TABLE'!$E$2:$G$294,3,FALSE),0)+IF('Biodiversity Assessment'!$BD$105&gt;0,'Biodiversity Assessment'!$BD$105*VLOOKUP(CONCATENATE(B11,C11,'ESVD - Land Use &amp; Climate Match'!$A$32)&amp;"4",'ESVD - SUMMARY TABLE'!$E$2:$G$294,3,FALSE),0)+IF('Biodiversity Assessment'!$BD$106&gt;0,'Biodiversity Assessment'!$BD$106*VLOOKUP(CONCATENATE(B11,C11,'ESVD - Land Use &amp; Climate Match'!$A$32)&amp;"5",'ESVD - SUMMARY TABLE'!$E$2:$G$294,3,FALSE)))))),0)</f>
        <v>0</v>
      </c>
      <c r="V11" s="122">
        <f>IFERROR(IF(S11='ESVD - Land Use &amp; Climate Match'!$A$1,IF(SUM('Biodiversity Assessment'!$O$102:$P$105)=SUM('Biodiversity Assessment'!$J$102:$M$105),IF('Biodiversity Assessment'!$O$102&gt;0,'Biodiversity Assessment'!$O$102*VLOOKUP('ESVD - Social Value of Bio'!T11&amp;"1",'ESVD - SUMMARY TABLE'!$E$2:$G$294,3,),0)+IF('Biodiversity Assessment'!$O$103&gt;0,'Biodiversity Assessment'!$O$103*VLOOKUP('ESVD - Social Value of Bio'!T11&amp;"2",'ESVD - SUMMARY TABLE'!$E$2:$G$294,3,),0)+IF('Biodiversity Assessment'!$O$104&gt;0,'Biodiversity Assessment'!$O$104*VLOOKUP('ESVD - Social Value of Bio'!T11&amp;"3",'ESVD - SUMMARY TABLE'!$E$2:$G$294,3,),0)+IF('Biodiversity Assessment'!$O$105&gt;0,'Biodiversity Assessment'!$O$105*VLOOKUP('ESVD - Social Value of Bio'!T11&amp;"4",'ESVD - SUMMARY TABLE'!$E$2:$G$294,3,),0),0),IF(S11='ESVD - Land Use &amp; Climate Match'!$A$11,IF(SUM('Biodiversity Assessment'!$AH$102:$AN$105)=SUM('Biodiversity Assessment'!$Z$102:$AF$105),IF('Biodiversity Assessment'!$AH$102&gt;0,'Biodiversity Assessment'!$AH$102*VLOOKUP('ESVD - Social Value of Bio'!T11&amp;"1",'ESVD - SUMMARY TABLE'!$E$2:$G$294,3,FALSE),0)+IF('Biodiversity Assessment'!$AH$103&gt;0,'Biodiversity Assessment'!$AH$103*VLOOKUP('ESVD - Social Value of Bio'!T11&amp;"2",'ESVD - SUMMARY TABLE'!$E$2:$G$294,3,FALSE),0)+IF('Biodiversity Assessment'!$AH$104&gt;0,'Biodiversity Assessment'!$AH$104*VLOOKUP('ESVD - Social Value of Bio'!T11&amp;"3",'ESVD - SUMMARY TABLE'!$E$2:$G$294,3,FALSE),0)+IF('Biodiversity Assessment'!$AH$105&gt;0,'Biodiversity Assessment'!$AH$105*VLOOKUP('ESVD - Social Value of Bio'!T11&amp;"4",'ESVD - SUMMARY TABLE'!$E$2:$G$294,3,FALSE),0),0),IF(S11='ESVD - Land Use &amp; Climate Match'!$A$32,IF(SUM('Biodiversity Assessment'!$BF$102:$BF$106)=SUM('Biodiversity Assessment'!$BD$102:$BD$106),IF('Biodiversity Assessment'!$BF$102&gt;0,'Biodiversity Assessment'!$BF$102*VLOOKUP('ESVD - Social Value of Bio'!T11&amp;"1",'ESVD - SUMMARY TABLE'!$E$2:$G$294,3,FALSE),0)+IF('Biodiversity Assessment'!$BF$103&gt;0,'Biodiversity Assessment'!$BF$103*VLOOKUP('ESVD - Social Value of Bio'!T11&amp;"2",'ESVD - SUMMARY TABLE'!$E$2:$G$294,3,FALSE),0)+IF('Biodiversity Assessment'!$BF$104&gt;0,'Biodiversity Assessment'!$BF$104*VLOOKUP('ESVD - Social Value of Bio'!T11&amp;"3",'ESVD - SUMMARY TABLE'!$E$2:$G$294,3,FALSE),0)+IF('Biodiversity Assessment'!$BF$105&gt;0,'Biodiversity Assessment'!$BF$105*VLOOKUP('ESVD - Social Value of Bio'!T11&amp;"4",'ESVD - SUMMARY TABLE'!$E$2:$G$294,3,FALSE),0)+IF('Biodiversity Assessment'!$BF$106&gt;0,'Biodiversity Assessment'!$BF$106*VLOOKUP('ESVD - Social Value of Bio'!T11&amp;"5",'ESVD - SUMMARY TABLE'!$E$2:$G$294,3,FALSE),0),0),AVERAGE(IF(SUM('Biodiversity Assessment'!$O$102:$P$105)=SUM('Biodiversity Assessment'!$J$102:$M$105),IF('Biodiversity Assessment'!$O$102&gt;0,'Biodiversity Assessment'!$O$102*VLOOKUP(CONCATENATE($B11,$C11,'ESVD - Land Use &amp; Climate Match'!$A$1)&amp;"1",'ESVD - SUMMARY TABLE'!$E$2:$G$294,3,),0)+IF('Biodiversity Assessment'!$O$103&gt;0,'Biodiversity Assessment'!$O$103*VLOOKUP(CONCATENATE($B11,$C11,'ESVD - Land Use &amp; Climate Match'!$A$1)&amp;"2",'ESVD - SUMMARY TABLE'!$E$2:$G$294,3,),0)+IF('Biodiversity Assessment'!$O$104&gt;0,'Biodiversity Assessment'!$O$104*VLOOKUP(CONCATENATE($B11,$C11,'ESVD - Land Use &amp; Climate Match'!$A$1)&amp;"3",'ESVD - SUMMARY TABLE'!$E$2:$G$294,3,),0)+IF('Biodiversity Assessment'!$O$105&gt;0,'Biodiversity Assessment'!$O$105*VLOOKUP(CONCATENATE($B11,$C11,'ESVD - Land Use &amp; Climate Match'!$A$1)&amp;"4",'ESVD - SUMMARY TABLE'!$E$2:$G$294,3,),0),0),IF(SUM('Biodiversity Assessment'!$AH$102:$AN$105)=SUM('Biodiversity Assessment'!$Z$102:$AF$105),IF('Biodiversity Assessment'!$AH$102&gt;0,'Biodiversity Assessment'!$AH$102*VLOOKUP(CONCATENATE($B11,$C11,'ESVD - Land Use &amp; Climate Match'!$A$11)&amp;"1",'ESVD - SUMMARY TABLE'!$E$2:$G$294,3,FALSE),0)+IF('Biodiversity Assessment'!$AH$103&gt;0,'Biodiversity Assessment'!$AH$103*VLOOKUP(CONCATENATE($B11,$C11,'ESVD - Land Use &amp; Climate Match'!$A$11)&amp;"2",'ESVD - SUMMARY TABLE'!$E$2:$G$294,3,FALSE),0)+IF('Biodiversity Assessment'!$AH$104&gt;0,'Biodiversity Assessment'!$AH$104*VLOOKUP(CONCATENATE($B11,$C11,'ESVD - Land Use &amp; Climate Match'!$A$11)&amp;"3",'ESVD - SUMMARY TABLE'!$E$2:$G$294,3,FALSE),0)+IF('Biodiversity Assessment'!$AH$105&gt;0,'Biodiversity Assessment'!$AH$105*VLOOKUP(CONCATENATE($B11,$C11,'ESVD - Land Use &amp; Climate Match'!$A$11)&amp;"4",'ESVD - SUMMARY TABLE'!$E$2:$G$294,3,FALSE),0),0),IF(SUM('Biodiversity Assessment'!$BF$102:$BF$106)=SUM('Biodiversity Assessment'!$BD$102:$BD$106),IF('Biodiversity Assessment'!$BF$102&gt;0,'Biodiversity Assessment'!$BF$102*VLOOKUP(CONCATENATE($B11,$C11,'ESVD - Land Use &amp; Climate Match'!$A$32)&amp;"1",'ESVD - SUMMARY TABLE'!$E$2:$G$294,3,FALSE),0)+IF('Biodiversity Assessment'!$BF$103&gt;0,'Biodiversity Assessment'!$BF$103*VLOOKUP(CONCATENATE($B11,$C11,'ESVD - Land Use &amp; Climate Match'!$A$32)&amp;"2",'ESVD - SUMMARY TABLE'!$E$2:$G$294,3,FALSE),0)+IF('Biodiversity Assessment'!$BF$104&gt;0,'Biodiversity Assessment'!$BF$104*VLOOKUP(CONCATENATE($B11,$C11,'ESVD - Land Use &amp; Climate Match'!$A$32)&amp;"3",'ESVD - SUMMARY TABLE'!$E$2:$G$294,3,FALSE),0)+IF('Biodiversity Assessment'!$BF$105&gt;0,'Biodiversity Assessment'!$BF$105*VLOOKUP(CONCATENATE($B11,$C11,'ESVD - Land Use &amp; Climate Match'!$A$32)&amp;"4",'ESVD - SUMMARY TABLE'!$E$2:$G$294,3,FALSE),0)+IF('Biodiversity Assessment'!$BF$106&gt;0,'Biodiversity Assessment'!$BF$106*VLOOKUP(CONCATENATE($B11,$C11,'ESVD - Land Use &amp; Climate Match'!$A$32)&amp;"5",'ESVD - SUMMARY TABLE'!$E$2:$G$294,3,FALSE),0),0))))),0)</f>
        <v>0</v>
      </c>
      <c r="W11" s="122">
        <f>'Biodiversity Assessment'!CX26</f>
        <v>0</v>
      </c>
      <c r="X11" s="122">
        <f>IFERROR(IF(W11&gt;0,W11*'Biodiversity Assessment'!$U26,IF(V11&gt;0,V11*'Biodiversity Assessment'!$U26,U11*'Biodiversity Assessment'!$U26)),0)</f>
        <v>0</v>
      </c>
      <c r="Y11" s="454"/>
      <c r="Z11" s="123">
        <f>IFERROR(IF(S11='ESVD - Land Use &amp; Climate Match'!$A$1,IF('Biodiversity Assessment'!$J$102&gt;0,'Biodiversity Assessment'!$J$102*VLOOKUP('ESVD - Social Value of Bio'!T11&amp;"1",'ESVD - SUMMARY TABLE'!$E$2:$G$294,3,),0)+IF('Biodiversity Assessment'!$J$103&gt;0,'Biodiversity Assessment'!$J$103*VLOOKUP('ESVD - Social Value of Bio'!T11&amp;"2",'ESVD - SUMMARY TABLE'!$E$2:$G$294,3,),0)+IF('Biodiversity Assessment'!$J$104&gt;0,'Biodiversity Assessment'!$J$104*VLOOKUP('ESVD - Social Value of Bio'!T11&amp;"3",'ESVD - SUMMARY TABLE'!$E$2:$G$294,3,),0)+IF('Biodiversity Assessment'!$J$105&gt;0,'Biodiversity Assessment'!$J$105*VLOOKUP('ESVD - Social Value of Bio'!T11&amp;"4",'ESVD - SUMMARY TABLE'!$E$2:$G$294,3,),0),IF(S11='ESVD - Land Use &amp; Climate Match'!$A$11,IF('Biodiversity Assessment'!$Z$102&gt;0,'Biodiversity Assessment'!$Z$102*VLOOKUP('ESVD - Social Value of Bio'!T11&amp;"1",'ESVD - SUMMARY TABLE'!$E$2:$G$294,3,FALSE),0)+IF('Biodiversity Assessment'!$Z$103&gt;0,'Biodiversity Assessment'!$Z$103*VLOOKUP('ESVD - Social Value of Bio'!T11&amp;"2",'ESVD - SUMMARY TABLE'!$E$2:$G$294,3,FALSE),0)+IF('Biodiversity Assessment'!$Z$104&gt;0,'Biodiversity Assessment'!$Z$104*VLOOKUP('ESVD - Social Value of Bio'!T11&amp;"3",'ESVD - SUMMARY TABLE'!$E$2:$G$294,3,FALSE),0)+IF('Biodiversity Assessment'!$Z$105&gt;0,'Biodiversity Assessment'!$Z$105*VLOOKUP('ESVD - Social Value of Bio'!T11&amp;"4",'ESVD - SUMMARY TABLE'!$E$2:$G$294,3,FALSE),0),IF(S11='ESVD - Land Use &amp; Climate Match'!$A$32,IF('Biodiversity Assessment'!$BD$102&gt;0,'Biodiversity Assessment'!$BD$102*VLOOKUP('ESVD - Social Value of Bio'!T11&amp;"1",'ESVD - SUMMARY TABLE'!$E$2:$G$294,3,FALSE),0)+IF('Biodiversity Assessment'!$BD$103&gt;0,'Biodiversity Assessment'!$BD$103*VLOOKUP('ESVD - Social Value of Bio'!T11&amp;"2",'ESVD - SUMMARY TABLE'!$E$2:$G$294,3,FALSE),0)+IF('Biodiversity Assessment'!$BD$104&gt;0,'Biodiversity Assessment'!$BD$104*VLOOKUP('ESVD - Social Value of Bio'!T11&amp;"3",'ESVD - SUMMARY TABLE'!$E$2:$G$294,3,FALSE),0)+IF('Biodiversity Assessment'!$BD$105&gt;0,'Biodiversity Assessment'!$BD$105*VLOOKUP('ESVD - Social Value of Bio'!T11&amp;"4",'ESVD - SUMMARY TABLE'!$E$2:$G$294,3,FALSE),0)+IF('Biodiversity Assessment'!$BD$106&gt;0,'Biodiversity Assessment'!$BD$106*VLOOKUP('ESVD - Social Value of Bio'!T11&amp;"5",'ESVD - SUMMARY TABLE'!$E$2:$G$294,3,FALSE),0),VLOOKUP('ESVD - Social Value of Bio'!T11&amp;"1",'ESVD - SUMMARY TABLE'!$E$2:$G$294,3,FALSE)))),0)</f>
        <v>0</v>
      </c>
      <c r="AA11" s="123">
        <f>IFERROR(IF(S11='ESVD - Land Use &amp; Climate Match'!$A$1,IF(SUM('Biodiversity Assessment'!$O$102:$P$105)=SUM('Biodiversity Assessment'!$J$102:$M$105),IF('Biodiversity Assessment'!$O$102&gt;0,'Biodiversity Assessment'!$O$102*VLOOKUP('ESVD - Social Value of Bio'!T11&amp;"1",'ESVD - SUMMARY TABLE'!$E$2:$G$294,3,),0)+IF('Biodiversity Assessment'!$O$103&gt;0,'Biodiversity Assessment'!$O$103*VLOOKUP('ESVD - Social Value of Bio'!T11&amp;"2",'ESVD - SUMMARY TABLE'!$E$2:$G$294,3,),0)+IF('Biodiversity Assessment'!$O$104&gt;0,'Biodiversity Assessment'!$O$104*VLOOKUP('ESVD - Social Value of Bio'!T11&amp;"3",'ESVD - SUMMARY TABLE'!$E$2:$G$294,3,),0)+IF('Biodiversity Assessment'!$O$105&gt;0,'Biodiversity Assessment'!$O$105*VLOOKUP('ESVD - Social Value of Bio'!T11&amp;"4",'ESVD - SUMMARY TABLE'!$E$2:$G$294,3,),0),0),IF(S11='ESVD - Land Use &amp; Climate Match'!$A$11,IF(SUM('Biodiversity Assessment'!$AH$102:$AN$105)=SUM('Biodiversity Assessment'!$Z$102:$AF$105),IF('Biodiversity Assessment'!$AH$102&gt;0,'Biodiversity Assessment'!$AH$102*VLOOKUP('ESVD - Social Value of Bio'!T11&amp;"1",'ESVD - SUMMARY TABLE'!$E$2:$G$294,3,FALSE),0)+IF('Biodiversity Assessment'!$AH$103&gt;0,'Biodiversity Assessment'!$AH$103*VLOOKUP('ESVD - Social Value of Bio'!T11&amp;"2",'ESVD - SUMMARY TABLE'!$E$2:$G$294,3,FALSE),0)+IF('Biodiversity Assessment'!$AH$104&gt;0,'Biodiversity Assessment'!$AH$104*VLOOKUP('ESVD - Social Value of Bio'!T11&amp;"3",'ESVD - SUMMARY TABLE'!$E$2:$G$294,3,FALSE),0)+IF('Biodiversity Assessment'!$AH$105&gt;0,'Biodiversity Assessment'!$AH$105*VLOOKUP('ESVD - Social Value of Bio'!T11&amp;"4",'ESVD - SUMMARY TABLE'!$E$2:$G$294,3,FALSE),0),0),IF(S11='ESVD - Land Use &amp; Climate Match'!$A$32,IF(SUM('Biodiversity Assessment'!$BF$102:$BF$106)=SUM('Biodiversity Assessment'!$BD$102:$BD$106),IF('Biodiversity Assessment'!$BF$102&gt;0,'Biodiversity Assessment'!$BF$102*VLOOKUP('ESVD - Social Value of Bio'!T11&amp;"1",'ESVD - SUMMARY TABLE'!$E$2:$G$294,3,FALSE),0)+IF('Biodiversity Assessment'!$BF$103&gt;0,'Biodiversity Assessment'!$BF$103*VLOOKUP('ESVD - Social Value of Bio'!T11&amp;"2",'ESVD - SUMMARY TABLE'!$E$2:$G$294,3,FALSE),0)+IF('Biodiversity Assessment'!$BF$104&gt;0,'Biodiversity Assessment'!$BF$104*VLOOKUP('ESVD - Social Value of Bio'!T11&amp;"3",'ESVD - SUMMARY TABLE'!$E$2:$G$294,3,FALSE),0)+IF('Biodiversity Assessment'!$BF$105&gt;0,'Biodiversity Assessment'!$BF$105*VLOOKUP('ESVD - Social Value of Bio'!T11&amp;"4",'ESVD - SUMMARY TABLE'!$E$2:$G$294,3,FALSE),0)+IF('Biodiversity Assessment'!$BF$106&gt;0,'Biodiversity Assessment'!$BF$106*VLOOKUP('ESVD - Social Value of Bio'!T11&amp;"5",'ESVD - SUMMARY TABLE'!$E$2:$G$294,3,FALSE),0),0),VLOOKUP('ESVD - Social Value of Bio'!T11&amp;"1",'ESVD - SUMMARY TABLE'!$E$2:$G$294,3,FALSE)))),0)</f>
        <v>0</v>
      </c>
      <c r="AB11" s="123">
        <f>'Biodiversity Assessment'!CX26</f>
        <v>0</v>
      </c>
      <c r="AC11" s="124">
        <f>IFERROR(IF(AB11&gt;0,AB11*'Biodiversity Assessment'!U26,IF(AA11&gt;0,AA11*'Biodiversity Assessment'!U26,Z11*'Biodiversity Assessment'!U26)),0)</f>
        <v>0</v>
      </c>
      <c r="AD11" s="456"/>
      <c r="AG11" s="453"/>
    </row>
    <row r="12" spans="1:33" s="110" customFormat="1" ht="10.5" x14ac:dyDescent="0.25">
      <c r="A12" s="107" t="s">
        <v>217</v>
      </c>
      <c r="B12" s="108" t="str">
        <f>IF(Start!$D$28&gt;1000,CONCATENATE(Start!$D$20," Mountain"),Start!$D$20)</f>
        <v>Please select</v>
      </c>
      <c r="C12" s="108" t="str">
        <f>Start!$D$24</f>
        <v>Please select</v>
      </c>
      <c r="D12" s="109" t="str">
        <f>'Biodiversity Assessment'!G27</f>
        <v>Select land use</v>
      </c>
      <c r="E12" s="109" t="str">
        <f>IF(OR(D12=Data!$E$4,D12=Data!$E$5,D12=Data!$E$6,D12=Data!$E$7),Data!$E$4,IF(OR(D12=Data!$E$9,D12=Data!$E$10,D12=Data!$E$11),Data!$E$9,IF(OR(D12=Data!$E$12,D12=Data!$E$13,D12=Data!$E$14),"Cropland",IF(OR(D12=Data!$E$16,D12=Data!$E$17),"Agroforestry",D12))))</f>
        <v>Select land use</v>
      </c>
      <c r="F12" s="109" t="str">
        <f t="shared" si="0"/>
        <v>Please selectPlease selectSelect land use</v>
      </c>
      <c r="G12" s="122">
        <f>IFERROR(IF(E12='ESVD - Land Use &amp; Climate Match'!$A$1,IF('Biodiversity Assessment'!$J$102&gt;0,'Biodiversity Assessment'!$J$102*VLOOKUP('ESVD - Social Value of Bio'!F12&amp;"1",'ESVD - SUMMARY TABLE'!$E$2:$G$294,3,),0)+IF('Biodiversity Assessment'!$J$103&gt;0,'Biodiversity Assessment'!$J$103*VLOOKUP('ESVD - Social Value of Bio'!F12&amp;"2",'ESVD - SUMMARY TABLE'!$E$2:$G$294,3,),0)+IF('Biodiversity Assessment'!$J$104&gt;0,'Biodiversity Assessment'!$J$104*VLOOKUP('ESVD - Social Value of Bio'!F12&amp;"3",'ESVD - SUMMARY TABLE'!$E$2:$G$294,3,),0)+IF('Biodiversity Assessment'!$J$105&gt;0,'Biodiversity Assessment'!$J$105*VLOOKUP('ESVD - Social Value of Bio'!F12&amp;"4",'ESVD - SUMMARY TABLE'!$E$2:$G$294,3,),0),IF(E12='ESVD - Land Use &amp; Climate Match'!$A$11,IF('Biodiversity Assessment'!$Z$102&gt;0,'Biodiversity Assessment'!$Z$102*VLOOKUP('ESVD - Social Value of Bio'!F12&amp;"1",'ESVD - SUMMARY TABLE'!$E$2:$G$294,3,FALSE),0)+IF('Biodiversity Assessment'!$Z$103&gt;0,'Biodiversity Assessment'!$Z$103*VLOOKUP('ESVD - Social Value of Bio'!F12&amp;"2",'ESVD - SUMMARY TABLE'!$E$2:$G$294,3,FALSE),0)+IF('Biodiversity Assessment'!$Z$104&gt;0,'Biodiversity Assessment'!$Z$104*VLOOKUP('ESVD - Social Value of Bio'!F12&amp;"3",'ESVD - SUMMARY TABLE'!$E$2:$G$294,3,FALSE),0)+IF('Biodiversity Assessment'!$Z$105&gt;0,'Biodiversity Assessment'!$Z$105*VLOOKUP('ESVD - Social Value of Bio'!F12&amp;"4",'ESVD - SUMMARY TABLE'!$E$2:$G$294,3,FALSE),0),IF(E12='ESVD - Land Use &amp; Climate Match'!$A$32,IF('Biodiversity Assessment'!$BD$102&gt;0,'Biodiversity Assessment'!$BD$102*VLOOKUP('ESVD - Social Value of Bio'!F12&amp;"1",'ESVD - SUMMARY TABLE'!$E$2:$G$294,3,FALSE),0)+IF('Biodiversity Assessment'!$BD$103&gt;0,'Biodiversity Assessment'!$BD$103*VLOOKUP('ESVD - Social Value of Bio'!F12&amp;"2",'ESVD - SUMMARY TABLE'!$E$2:$G$294,3,FALSE),0)+IF('Biodiversity Assessment'!$BD$104&gt;0,'Biodiversity Assessment'!$BD$104*VLOOKUP('ESVD - Social Value of Bio'!F12&amp;"3",'ESVD - SUMMARY TABLE'!$E$2:$G$294,3,FALSE),0)+IF('Biodiversity Assessment'!$BD$105&gt;0,'Biodiversity Assessment'!$BD$105*VLOOKUP('ESVD - Social Value of Bio'!F12&amp;"4",'ESVD - SUMMARY TABLE'!$E$2:$G$294,3,FALSE),0)+IF('Biodiversity Assessment'!$BD$106&gt;0,'Biodiversity Assessment'!$BD$106*VLOOKUP('ESVD - Social Value of Bio'!F12&amp;"5",'ESVD - SUMMARY TABLE'!$E$2:$G$294,3,FALSE),0),AVERAGE(IF('Biodiversity Assessment'!$J$102&gt;0,'Biodiversity Assessment'!$J$102*VLOOKUP(CONCATENATE($B12,$C12,'ESVD - Land Use &amp; Climate Match'!$A$1)&amp;"1",'ESVD - SUMMARY TABLE'!$E$2:$G$294,3,),0)+IF('Biodiversity Assessment'!$J$103&gt;0,'Biodiversity Assessment'!$J$103*VLOOKUP(CONCATENATE($B12,$C12,'ESVD - Land Use &amp; Climate Match'!$A$1)&amp;"2",'ESVD - SUMMARY TABLE'!$E$2:$G$294,3,),0)+IF('Biodiversity Assessment'!$J$104&gt;0,'Biodiversity Assessment'!$J$104*VLOOKUP(CONCATENATE($B12,$C12,'ESVD - Land Use &amp; Climate Match'!$A$1)&amp;"3",'ESVD - SUMMARY TABLE'!$E$2:$G$294,3,),0)+IF('Biodiversity Assessment'!$J$105&gt;0,'Biodiversity Assessment'!$J$105*VLOOKUP(CONCATENATE($B12,$C12,'ESVD - Land Use &amp; Climate Match'!$A$1)&amp;"4",'ESVD - SUMMARY TABLE'!$E$2:$G$294,3,),0),IF('Biodiversity Assessment'!$Z$102&gt;0,'Biodiversity Assessment'!$Z$102*VLOOKUP(CONCATENATE($B12,$C12,'ESVD - Land Use &amp; Climate Match'!$A$11)&amp;"1",'ESVD - SUMMARY TABLE'!$E$2:$G$294,3,FALSE),0)+IF('Biodiversity Assessment'!$Z$103&gt;0,'Biodiversity Assessment'!$Z$103*VLOOKUP(CONCATENATE($B12,$C12,'ESVD - Land Use &amp; Climate Match'!$A$11)&amp;"2",'ESVD - SUMMARY TABLE'!$E$2:$G$294,3,FALSE),0)+IF('Biodiversity Assessment'!$Z$104&gt;0,'Biodiversity Assessment'!$Z$104*VLOOKUP(CONCATENATE($B12,$C12,'ESVD - Land Use &amp; Climate Match'!$A$11)&amp;"3",'ESVD - SUMMARY TABLE'!$E$2:$G$294,3,FALSE),0)+IF('Biodiversity Assessment'!$Z$105&gt;0,'Biodiversity Assessment'!$Z$105*VLOOKUP(CONCATENATE($B12,$C12,'ESVD - Land Use &amp; Climate Match'!$A$11)&amp;"4",'ESVD - SUMMARY TABLE'!$E$2:$G$294,3,FALSE),0),IF('Biodiversity Assessment'!$BD$102&gt;0,'Biodiversity Assessment'!$BD$102*VLOOKUP(CONCATENATE($B12,$C12,'ESVD - Land Use &amp; Climate Match'!$A$32)&amp;"1",'ESVD - SUMMARY TABLE'!$E$2:$G$294,3,FALSE),0)+IF('Biodiversity Assessment'!$BD$103&gt;0,'Biodiversity Assessment'!$BD$103*VLOOKUP(CONCATENATE($B12,$C12,'ESVD - Land Use &amp; Climate Match'!$A$32)&amp;"2",'ESVD - SUMMARY TABLE'!$E$2:$G$294,3,FALSE),0)+IF('Biodiversity Assessment'!$BD$104&gt;0,'Biodiversity Assessment'!$BD$104*VLOOKUP(CONCATENATE($B12,$C12,'ESVD - Land Use &amp; Climate Match'!$A$32)&amp;"3",'ESVD - SUMMARY TABLE'!$E$2:$G$294,3,FALSE),0)+IF('Biodiversity Assessment'!$BD$105&gt;0,'Biodiversity Assessment'!$BD$105*VLOOKUP(CONCATENATE($B12,$C12,'ESVD - Land Use &amp; Climate Match'!$A$32)&amp;"4",'ESVD - SUMMARY TABLE'!$E$2:$G$294,3,FALSE),0)+IF('Biodiversity Assessment'!$BD$106&gt;0,'Biodiversity Assessment'!$BD$106*VLOOKUP(CONCATENATE($B12,$C12,'ESVD - Land Use &amp; Climate Match'!$A$32)&amp;"5",'ESVD - SUMMARY TABLE'!$E$2:$G$294,3,FALSE)))))),0)</f>
        <v>0</v>
      </c>
      <c r="H12" s="122">
        <f>IFERROR(IF(E12='ESVD - Land Use &amp; Climate Match'!$A$1,IF(SUM('Biodiversity Assessment'!$O$102:$P$105)=SUM('Biodiversity Assessment'!$J$102:$M$105),IF('Biodiversity Assessment'!$O$102&gt;0,'Biodiversity Assessment'!$O$102*VLOOKUP('ESVD - Social Value of Bio'!F12&amp;"1",'ESVD - SUMMARY TABLE'!$E$2:$G$294,3,),0)+IF('Biodiversity Assessment'!$O$103&gt;0,'Biodiversity Assessment'!$O$103*VLOOKUP('ESVD - Social Value of Bio'!F12&amp;"2",'ESVD - SUMMARY TABLE'!$E$2:$G$294,3,),0)+IF('Biodiversity Assessment'!$O$104&gt;0,'Biodiversity Assessment'!$O$104*VLOOKUP('ESVD - Social Value of Bio'!F12&amp;"3",'ESVD - SUMMARY TABLE'!$E$2:$G$294,3,),0)+IF('Biodiversity Assessment'!$O$105&gt;0,'Biodiversity Assessment'!$O$105*VLOOKUP('ESVD - Social Value of Bio'!F12&amp;"4",'ESVD - SUMMARY TABLE'!$E$2:$G$294,3,),0),0),IF(E12='ESVD - Land Use &amp; Climate Match'!$A$11,IF(SUM('Biodiversity Assessment'!$AH$102:$AN$105)=SUM('Biodiversity Assessment'!$Z$102:$AF$105),IF('Biodiversity Assessment'!$AH$102&gt;0,'Biodiversity Assessment'!$AH$102*VLOOKUP('ESVD - Social Value of Bio'!F12&amp;"1",'ESVD - SUMMARY TABLE'!$E$2:$G$294,3,FALSE),0)+IF('Biodiversity Assessment'!$AH$103&gt;0,'Biodiversity Assessment'!$AH$103*VLOOKUP('ESVD - Social Value of Bio'!F12&amp;"2",'ESVD - SUMMARY TABLE'!$E$2:$G$294,3,FALSE),0)+IF('Biodiversity Assessment'!$AH$104&gt;0,'Biodiversity Assessment'!$AH$104*VLOOKUP('ESVD - Social Value of Bio'!F12&amp;"3",'ESVD - SUMMARY TABLE'!$E$2:$G$294,3,FALSE),0)+IF('Biodiversity Assessment'!$AH$105&gt;0,'Biodiversity Assessment'!$AH$105*VLOOKUP('ESVD - Social Value of Bio'!F12&amp;"4",'ESVD - SUMMARY TABLE'!$E$2:$G$294,3,FALSE),0),0),IF(E12='ESVD - Land Use &amp; Climate Match'!$A$32,IF(SUM('Biodiversity Assessment'!$BF$102:$BF$106)=SUM('Biodiversity Assessment'!$BD$102:$BD$106),IF('Biodiversity Assessment'!$BF$102&gt;0,'Biodiversity Assessment'!$BF$102*VLOOKUP('ESVD - Social Value of Bio'!F12&amp;"1",'ESVD - SUMMARY TABLE'!$E$2:$G$294,3,FALSE),0)+IF('Biodiversity Assessment'!$BF$103&gt;0,'Biodiversity Assessment'!$BF$103*VLOOKUP('ESVD - Social Value of Bio'!F12&amp;"2",'ESVD - SUMMARY TABLE'!$E$2:$G$294,3,FALSE),0)+IF('Biodiversity Assessment'!$BF$104&gt;0,'Biodiversity Assessment'!$BF$104*VLOOKUP('ESVD - Social Value of Bio'!F12&amp;"3",'ESVD - SUMMARY TABLE'!$E$2:$G$294,3,FALSE),0)+IF('Biodiversity Assessment'!$BF$105&gt;0,'Biodiversity Assessment'!$BF$105*VLOOKUP('ESVD - Social Value of Bio'!F12&amp;"4",'ESVD - SUMMARY TABLE'!$E$2:$G$294,3,FALSE),0)+IF('Biodiversity Assessment'!$BF$106&gt;0,'Biodiversity Assessment'!$BF$106*VLOOKUP('ESVD - Social Value of Bio'!F12&amp;"5",'ESVD - SUMMARY TABLE'!$E$2:$G$294,3,FALSE),0),0),AVERAGE(IF(SUM('Biodiversity Assessment'!$O$102:$P$105)=SUM('Biodiversity Assessment'!$J$102:$M$105),IF('Biodiversity Assessment'!$O$102&gt;0,'Biodiversity Assessment'!$O$102*VLOOKUP(CONCATENATE($B12,$C12,'ESVD - Land Use &amp; Climate Match'!$A$1)&amp;"1",'ESVD - SUMMARY TABLE'!$E$2:$G$294,3,),0)+IF('Biodiversity Assessment'!$O$103&gt;0,'Biodiversity Assessment'!$O$103*VLOOKUP(CONCATENATE($B12,$C12,'ESVD - Land Use &amp; Climate Match'!$A$1)&amp;"2",'ESVD - SUMMARY TABLE'!$E$2:$G$294,3,),0)+IF('Biodiversity Assessment'!$O$104&gt;0,'Biodiversity Assessment'!$O$104*VLOOKUP(CONCATENATE($B12,$C12,'ESVD - Land Use &amp; Climate Match'!$A$1)&amp;"3",'ESVD - SUMMARY TABLE'!$E$2:$G$294,3,),0)+IF('Biodiversity Assessment'!$O$105&gt;0,'Biodiversity Assessment'!$O$105*VLOOKUP(CONCATENATE($B12,$C12,'ESVD - Land Use &amp; Climate Match'!$A$1)&amp;"4",'ESVD - SUMMARY TABLE'!$E$2:$G$294,3,),0),0),IF(SUM('Biodiversity Assessment'!$AH$102:$AN$105)=SUM('Biodiversity Assessment'!$Z$102:$AF$105),IF('Biodiversity Assessment'!$AH$102&gt;0,'Biodiversity Assessment'!$AH$102*VLOOKUP(CONCATENATE($B12,$C12,'ESVD - Land Use &amp; Climate Match'!$A$11)&amp;"1",'ESVD - SUMMARY TABLE'!$E$2:$G$294,3,FALSE),0)+IF('Biodiversity Assessment'!$AH$103&gt;0,'Biodiversity Assessment'!$AH$103*VLOOKUP(CONCATENATE($B12,$C12,'ESVD - Land Use &amp; Climate Match'!$A$11)&amp;"2",'ESVD - SUMMARY TABLE'!$E$2:$G$294,3,FALSE),0)+IF('Biodiversity Assessment'!$AH$104&gt;0,'Biodiversity Assessment'!$AH$104*VLOOKUP(CONCATENATE($B12,$C12,'ESVD - Land Use &amp; Climate Match'!$A$11)&amp;"3",'ESVD - SUMMARY TABLE'!$E$2:$G$294,3,FALSE),0)+IF('Biodiversity Assessment'!$AH$105&gt;0,'Biodiversity Assessment'!$AH$105*VLOOKUP(CONCATENATE($B12,$C12,'ESVD - Land Use &amp; Climate Match'!$A$11)&amp;"4",'ESVD - SUMMARY TABLE'!$E$2:$G$294,3,FALSE),0),0),IF(SUM('Biodiversity Assessment'!$BF$102:$BF$106)=SUM('Biodiversity Assessment'!$BD$102:$BD$106),IF('Biodiversity Assessment'!$BF$102&gt;0,'Biodiversity Assessment'!$BF$102*VLOOKUP(CONCATENATE($B12,$C12,'ESVD - Land Use &amp; Climate Match'!$A$32)&amp;"1",'ESVD - SUMMARY TABLE'!$E$2:$G$294,3,FALSE),0)+IF('Biodiversity Assessment'!$BF$103&gt;0,'Biodiversity Assessment'!$BF$103*VLOOKUP(CONCATENATE($B12,$C12,'ESVD - Land Use &amp; Climate Match'!$A$32)&amp;"2",'ESVD - SUMMARY TABLE'!$E$2:$G$294,3,FALSE),0)+IF('Biodiversity Assessment'!$BF$104&gt;0,'Biodiversity Assessment'!$BF$104*VLOOKUP(CONCATENATE($B12,$C12,'ESVD - Land Use &amp; Climate Match'!$A$32)&amp;"3",'ESVD - SUMMARY TABLE'!$E$2:$G$294,3,FALSE),0)+IF('Biodiversity Assessment'!$BF$105&gt;0,'Biodiversity Assessment'!$BF$105*VLOOKUP(CONCATENATE($B12,$C12,'ESVD - Land Use &amp; Climate Match'!$A$32)&amp;"4",'ESVD - SUMMARY TABLE'!$E$2:$G$294,3,FALSE),0)+IF('Biodiversity Assessment'!$BF$106&gt;0,'Biodiversity Assessment'!$BF$106*VLOOKUP(CONCATENATE($B12,$C12,'ESVD - Land Use &amp; Climate Match'!$A$32)&amp;"5",'ESVD - SUMMARY TABLE'!$E$2:$G$294,3,FALSE),0),0))))),0)</f>
        <v>0</v>
      </c>
      <c r="I12" s="122">
        <f>'Biodiversity Assessment'!CR27</f>
        <v>0</v>
      </c>
      <c r="J12" s="122">
        <f>IFERROR(IF(I12&gt;0,I12*'Biodiversity Assessment'!$M27,IF(H12&gt;0,H12*'Biodiversity Assessment'!$M27,G12*'Biodiversity Assessment'!$M27)),0)</f>
        <v>0</v>
      </c>
      <c r="K12" s="454"/>
      <c r="L12" s="123">
        <f>IFERROR(IF(E12='ESVD - Land Use &amp; Climate Match'!$A$1,IF('Biodiversity Assessment'!$J$102&gt;0,'Biodiversity Assessment'!$J$102*VLOOKUP('ESVD - Social Value of Bio'!F12&amp;"1",'ESVD - SUMMARY TABLE'!$E$2:$G$294,3,),0)+IF('Biodiversity Assessment'!$J$103&gt;0,'Biodiversity Assessment'!$J$103*VLOOKUP('ESVD - Social Value of Bio'!F12&amp;"2",'ESVD - SUMMARY TABLE'!$E$2:$G$294,3,),0)+IF('Biodiversity Assessment'!$J$104&gt;0,'Biodiversity Assessment'!$J$104*VLOOKUP('ESVD - Social Value of Bio'!F12&amp;"3",'ESVD - SUMMARY TABLE'!$E$2:$G$294,3,),0)+IF('Biodiversity Assessment'!$J$105&gt;0,'Biodiversity Assessment'!$J$105*VLOOKUP('ESVD - Social Value of Bio'!F12&amp;"4",'ESVD - SUMMARY TABLE'!$E$2:$G$294,3,),0),IF(E12='ESVD - Land Use &amp; Climate Match'!$A$11,IF('Biodiversity Assessment'!$Z$102&gt;0,'Biodiversity Assessment'!$Z$102*VLOOKUP('ESVD - Social Value of Bio'!F12&amp;"1",'ESVD - SUMMARY TABLE'!$E$2:$G$294,3,FALSE),0)+IF('Biodiversity Assessment'!$Z$103&gt;0,'Biodiversity Assessment'!$Z$103*VLOOKUP('ESVD - Social Value of Bio'!F12&amp;"2",'ESVD - SUMMARY TABLE'!$E$2:$G$294,3,FALSE),0)+IF('Biodiversity Assessment'!$Z$104&gt;0,'Biodiversity Assessment'!$Z$104*VLOOKUP('ESVD - Social Value of Bio'!F12&amp;"3",'ESVD - SUMMARY TABLE'!$E$2:$G$294,3,FALSE),0)+IF('Biodiversity Assessment'!$Z$105&gt;0,'Biodiversity Assessment'!$Z$105*VLOOKUP('ESVD - Social Value of Bio'!F12&amp;"4",'ESVD - SUMMARY TABLE'!$E$2:$G$294,3,FALSE),0),IF(E12='ESVD - Land Use &amp; Climate Match'!$A$32,IF('Biodiversity Assessment'!$BD$102&gt;0,'Biodiversity Assessment'!$BD$102*VLOOKUP('ESVD - Social Value of Bio'!F12&amp;"1",'ESVD - SUMMARY TABLE'!$E$2:$G$294,3,FALSE),0)+IF('Biodiversity Assessment'!$BD$103&gt;0,'Biodiversity Assessment'!$BD$103*VLOOKUP('ESVD - Social Value of Bio'!F12&amp;"2",'ESVD - SUMMARY TABLE'!$E$2:$G$294,3,FALSE),0)+IF('Biodiversity Assessment'!$BD$104&gt;0,'Biodiversity Assessment'!$BD$104*VLOOKUP('ESVD - Social Value of Bio'!F12&amp;"3",'ESVD - SUMMARY TABLE'!$E$2:$G$294,3,FALSE),0)+IF('Biodiversity Assessment'!$BD$105&gt;0,'Biodiversity Assessment'!$BD$105*VLOOKUP('ESVD - Social Value of Bio'!F12&amp;"4",'ESVD - SUMMARY TABLE'!$E$2:$G$294,3,FALSE),0)+IF('Biodiversity Assessment'!$BD$106&gt;0,'Biodiversity Assessment'!$BD$106*VLOOKUP('ESVD - Social Value of Bio'!F12&amp;"5",'ESVD - SUMMARY TABLE'!$E$2:$G$294,3,FALSE),0),VLOOKUP('ESVD - Social Value of Bio'!F12&amp;"1",'ESVD - SUMMARY TABLE'!$E$2:$G$294,3,FALSE)))),0)</f>
        <v>0</v>
      </c>
      <c r="M12" s="123">
        <f>IFERROR(IF(E12='ESVD - Land Use &amp; Climate Match'!$A$1,IF(SUM('Biodiversity Assessment'!$O$102:$P$105)=SUM('Biodiversity Assessment'!$J$102:$M$105),IF('Biodiversity Assessment'!$O$102&gt;0,'Biodiversity Assessment'!$O$102*VLOOKUP('ESVD - Social Value of Bio'!F12&amp;"1",'ESVD - SUMMARY TABLE'!$E$2:$G$294,3,),0)+IF('Biodiversity Assessment'!$O$103&gt;0,'Biodiversity Assessment'!$O$103*VLOOKUP('ESVD - Social Value of Bio'!F12&amp;"2",'ESVD - SUMMARY TABLE'!$E$2:$G$294,3,),0)+IF('Biodiversity Assessment'!$O$104&gt;0,'Biodiversity Assessment'!$O$104*VLOOKUP('ESVD - Social Value of Bio'!F12&amp;"3",'ESVD - SUMMARY TABLE'!$E$2:$G$294,3,),0)+IF('Biodiversity Assessment'!$O$105&gt;0,'Biodiversity Assessment'!$O$105*VLOOKUP('ESVD - Social Value of Bio'!F12&amp;"4",'ESVD - SUMMARY TABLE'!$E$2:$G$294,3,),0),0),IF(E12='ESVD - Land Use &amp; Climate Match'!$A$11,IF(SUM('Biodiversity Assessment'!$AH$102:$AN$105)=SUM('Biodiversity Assessment'!$Z$102:$AF$105),IF('Biodiversity Assessment'!$AH$102&gt;0,'Biodiversity Assessment'!$AH$102*VLOOKUP('ESVD - Social Value of Bio'!F12&amp;"1",'ESVD - SUMMARY TABLE'!$E$2:$G$294,3,FALSE),0)+IF('Biodiversity Assessment'!$AH$103&gt;0,'Biodiversity Assessment'!$AH$103*VLOOKUP('ESVD - Social Value of Bio'!F12&amp;"2",'ESVD - SUMMARY TABLE'!$E$2:$G$294,3,FALSE),0)+IF('Biodiversity Assessment'!$AH$104&gt;0,'Biodiversity Assessment'!$AH$104*VLOOKUP('ESVD - Social Value of Bio'!F12&amp;"3",'ESVD - SUMMARY TABLE'!$E$2:$G$294,3,FALSE),0)+IF('Biodiversity Assessment'!$AH$105&gt;0,'Biodiversity Assessment'!$AH$105*VLOOKUP('ESVD - Social Value of Bio'!F12&amp;"4",'ESVD - SUMMARY TABLE'!$E$2:$G$294,3,FALSE),0),0),IF(E12='ESVD - Land Use &amp; Climate Match'!$A$32,IF(SUM('Biodiversity Assessment'!$BF$102:$BF$106)=SUM('Biodiversity Assessment'!$BD$102:$BD$106),IF('Biodiversity Assessment'!$BF$102&gt;0,'Biodiversity Assessment'!$BF$102*VLOOKUP('ESVD - Social Value of Bio'!F12&amp;"1",'ESVD - SUMMARY TABLE'!$E$2:$G$294,3,FALSE),0)+IF('Biodiversity Assessment'!$BF$103&gt;0,'Biodiversity Assessment'!$BF$103*VLOOKUP('ESVD - Social Value of Bio'!F12&amp;"2",'ESVD - SUMMARY TABLE'!$E$2:$G$294,3,FALSE),0)+IF('Biodiversity Assessment'!$BF$104&gt;0,'Biodiversity Assessment'!$BF$104*VLOOKUP('ESVD - Social Value of Bio'!F12&amp;"3",'ESVD - SUMMARY TABLE'!$E$2:$G$294,3,FALSE),0)+IF('Biodiversity Assessment'!$BF$105&gt;0,'Biodiversity Assessment'!$BF$105*VLOOKUP('ESVD - Social Value of Bio'!F12&amp;"4",'ESVD - SUMMARY TABLE'!$E$2:$G$294,3,FALSE),0)+IF('Biodiversity Assessment'!$BF$106&gt;0,'Biodiversity Assessment'!$BF$106*VLOOKUP('ESVD - Social Value of Bio'!F12&amp;"5",'ESVD - SUMMARY TABLE'!$E$2:$G$294,3,FALSE),0),0),VLOOKUP('ESVD - Social Value of Bio'!F12&amp;"1",'ESVD - SUMMARY TABLE'!$E$2:$G$294,3,FALSE)))),0)</f>
        <v>0</v>
      </c>
      <c r="N12" s="123">
        <f>'Biodiversity Assessment'!CR27</f>
        <v>0</v>
      </c>
      <c r="O12" s="124">
        <f>IFERROR(IF(N12&gt;0,N12*'Biodiversity Assessment'!M27,IF(M12&gt;0,M12*'Biodiversity Assessment'!M27,L12*'Biodiversity Assessment'!M27)),0)</f>
        <v>0</v>
      </c>
      <c r="P12" s="456"/>
      <c r="R12" s="108" t="str">
        <f>'Biodiversity Assessment'!O27</f>
        <v>Select land use</v>
      </c>
      <c r="S12" s="109" t="str">
        <f>IF(OR(R12=Data!$E$4,R12=Data!$E$5,R12=Data!$E$6,R12=Data!$E$7),Data!$E$4,IF(OR(R12=Data!$E$9,R12=Data!$E$10,R12=Data!$E$11),Data!$E$9,IF(OR(R12=Data!$E$12,R12=Data!$E$13,R12=Data!$E$14),"Cropland",IF(OR(R12=Data!$E$16,R12=Data!$E$17),"Agroforestry",R12))))</f>
        <v>Select land use</v>
      </c>
      <c r="T12" s="109" t="str">
        <f t="shared" si="1"/>
        <v>Please selectPlease selectSelect land use</v>
      </c>
      <c r="U12" s="122">
        <f>IFERROR(IF(S12='ESVD - Land Use &amp; Climate Match'!$A$1,IF('Biodiversity Assessment'!$J$102&gt;0,'Biodiversity Assessment'!$J$102*VLOOKUP('ESVD - Social Value of Bio'!T12&amp;"1",'ESVD - SUMMARY TABLE'!$E$2:$G$294,3,),0)+IF('Biodiversity Assessment'!$J$103&gt;0,'Biodiversity Assessment'!$J$103*VLOOKUP('ESVD - Social Value of Bio'!T12&amp;"2",'ESVD - SUMMARY TABLE'!$E$2:$G$294,3,),0)+IF('Biodiversity Assessment'!$J$104&gt;0,'Biodiversity Assessment'!$J$104*VLOOKUP('ESVD - Social Value of Bio'!T12&amp;"3",'ESVD - SUMMARY TABLE'!$E$2:$G$294,3,),0)+IF('Biodiversity Assessment'!$J$105&gt;0,'Biodiversity Assessment'!$J$105*VLOOKUP('ESVD - Social Value of Bio'!T12&amp;"4",'ESVD - SUMMARY TABLE'!$E$2:$G$294,3,),0),IF(S12='ESVD - Land Use &amp; Climate Match'!$A$11,IF('Biodiversity Assessment'!$Z$102&gt;0,'Biodiversity Assessment'!$Z$102*VLOOKUP('ESVD - Social Value of Bio'!T12&amp;"1",'ESVD - SUMMARY TABLE'!$E$2:$G$294,3,FALSE),0)+IF('Biodiversity Assessment'!$Z$103&gt;0,'Biodiversity Assessment'!$Z$103*VLOOKUP('ESVD - Social Value of Bio'!T12&amp;"2",'ESVD - SUMMARY TABLE'!$E$2:$G$294,3,FALSE),0)+IF('Biodiversity Assessment'!$Z$104&gt;0,'Biodiversity Assessment'!$Z$104*VLOOKUP('ESVD - Social Value of Bio'!T12&amp;"3",'ESVD - SUMMARY TABLE'!$E$2:$G$294,3,FALSE),0)+IF('Biodiversity Assessment'!$Z$105&gt;0,'Biodiversity Assessment'!$Z$105*VLOOKUP('ESVD - Social Value of Bio'!T12&amp;"4",'ESVD - SUMMARY TABLE'!$E$2:$G$294,3,FALSE),0),IF(S12='ESVD - Land Use &amp; Climate Match'!$A$32,IF('Biodiversity Assessment'!$BD$102&gt;0,'Biodiversity Assessment'!$BD$102*VLOOKUP('ESVD - Social Value of Bio'!T12&amp;"1",'ESVD - SUMMARY TABLE'!$E$2:$G$294,3,FALSE),0)+IF('Biodiversity Assessment'!$BD$103&gt;0,'Biodiversity Assessment'!$BD$103*VLOOKUP('ESVD - Social Value of Bio'!T12&amp;"2",'ESVD - SUMMARY TABLE'!$E$2:$G$294,3,FALSE),0)+IF('Biodiversity Assessment'!$BD$104&gt;0,'Biodiversity Assessment'!$BD$104*VLOOKUP('ESVD - Social Value of Bio'!T12&amp;"3",'ESVD - SUMMARY TABLE'!$E$2:$G$294,3,FALSE),0)+IF('Biodiversity Assessment'!$BD$105&gt;0,'Biodiversity Assessment'!$BD$105*VLOOKUP('ESVD - Social Value of Bio'!T12&amp;"4",'ESVD - SUMMARY TABLE'!$E$2:$G$294,3,FALSE),0)+IF('Biodiversity Assessment'!$BD$106&gt;0,'Biodiversity Assessment'!$BD$106*VLOOKUP('ESVD - Social Value of Bio'!T12&amp;"5",'ESVD - SUMMARY TABLE'!$E$2:$G$294,3,FALSE),0),AVERAGE(IF('Biodiversity Assessment'!$J$102&gt;0,'Biodiversity Assessment'!$J$102*VLOOKUP(CONCATENATE(B12,C12,'ESVD - Land Use &amp; Climate Match'!$A$1)&amp;"1",'ESVD - SUMMARY TABLE'!$E$2:$G$294,3,),0)+IF('Biodiversity Assessment'!$J$103&gt;0,'Biodiversity Assessment'!$J$103*VLOOKUP(CONCATENATE(B12,C12,'ESVD - Land Use &amp; Climate Match'!$A$1)&amp;"2",'ESVD - SUMMARY TABLE'!$E$2:$G$294,3,),0)+IF('Biodiversity Assessment'!$J$104&gt;0,'Biodiversity Assessment'!$J$104*VLOOKUP(CONCATENATE(B12,C12,'ESVD - Land Use &amp; Climate Match'!$A$1)&amp;"3",'ESVD - SUMMARY TABLE'!$E$2:$G$294,3,),0)+IF('Biodiversity Assessment'!$J$105&gt;0,'Biodiversity Assessment'!$J$105*VLOOKUP(CONCATENATE(B12,C12,'ESVD - Land Use &amp; Climate Match'!$A$1)&amp;"4",'ESVD - SUMMARY TABLE'!$E$2:$G$294,3,),0),IF('Biodiversity Assessment'!$Z$102&gt;0,'Biodiversity Assessment'!$Z$102*VLOOKUP(CONCATENATE(B12,C12,'ESVD - Land Use &amp; Climate Match'!$A$11)&amp;"1",'ESVD - SUMMARY TABLE'!$E$2:$G$294,3,FALSE),0)+IF('Biodiversity Assessment'!$Z$103&gt;0,'Biodiversity Assessment'!$Z$103*VLOOKUP(CONCATENATE(B12,C12,'ESVD - Land Use &amp; Climate Match'!$A$11)&amp;"2",'ESVD - SUMMARY TABLE'!$E$2:$G$294,3,FALSE),0)+IF('Biodiversity Assessment'!$Z$104&gt;0,'Biodiversity Assessment'!$Z$104*VLOOKUP(CONCATENATE(B12,C12,'ESVD - Land Use &amp; Climate Match'!$A$11)&amp;"3",'ESVD - SUMMARY TABLE'!$E$2:$G$294,3,FALSE),0)+IF('Biodiversity Assessment'!$Z$105&gt;0,'Biodiversity Assessment'!$Z$105*VLOOKUP(CONCATENATE(B12,C12,'ESVD - Land Use &amp; Climate Match'!$A$11)&amp;"4",'ESVD - SUMMARY TABLE'!$E$2:$G$294,3,FALSE),0),IF('Biodiversity Assessment'!$BD$102&gt;0,'Biodiversity Assessment'!$BD$102*VLOOKUP(CONCATENATE(B12,C12,'ESVD - Land Use &amp; Climate Match'!$A$32)&amp;"1",'ESVD - SUMMARY TABLE'!$E$2:$G$294,3,FALSE),0)+IF('Biodiversity Assessment'!$BD$103&gt;0,'Biodiversity Assessment'!$BD$103*VLOOKUP(CONCATENATE(B12,C12,'ESVD - Land Use &amp; Climate Match'!$A$32)&amp;"2",'ESVD - SUMMARY TABLE'!$E$2:$G$294,3,FALSE),0)+IF('Biodiversity Assessment'!$BD$104&gt;0,'Biodiversity Assessment'!$BD$104*VLOOKUP(CONCATENATE(B12,C12,'ESVD - Land Use &amp; Climate Match'!$A$32)&amp;"3",'ESVD - SUMMARY TABLE'!$E$2:$G$294,3,FALSE),0)+IF('Biodiversity Assessment'!$BD$105&gt;0,'Biodiversity Assessment'!$BD$105*VLOOKUP(CONCATENATE(B12,C12,'ESVD - Land Use &amp; Climate Match'!$A$32)&amp;"4",'ESVD - SUMMARY TABLE'!$E$2:$G$294,3,FALSE),0)+IF('Biodiversity Assessment'!$BD$106&gt;0,'Biodiversity Assessment'!$BD$106*VLOOKUP(CONCATENATE(B12,C12,'ESVD - Land Use &amp; Climate Match'!$A$32)&amp;"5",'ESVD - SUMMARY TABLE'!$E$2:$G$294,3,FALSE)))))),0)</f>
        <v>0</v>
      </c>
      <c r="V12" s="122">
        <f>IFERROR(IF(S12='ESVD - Land Use &amp; Climate Match'!$A$1,IF(SUM('Biodiversity Assessment'!$O$102:$P$105)=SUM('Biodiversity Assessment'!$J$102:$M$105),IF('Biodiversity Assessment'!$O$102&gt;0,'Biodiversity Assessment'!$O$102*VLOOKUP('ESVD - Social Value of Bio'!T12&amp;"1",'ESVD - SUMMARY TABLE'!$E$2:$G$294,3,),0)+IF('Biodiversity Assessment'!$O$103&gt;0,'Biodiversity Assessment'!$O$103*VLOOKUP('ESVD - Social Value of Bio'!T12&amp;"2",'ESVD - SUMMARY TABLE'!$E$2:$G$294,3,),0)+IF('Biodiversity Assessment'!$O$104&gt;0,'Biodiversity Assessment'!$O$104*VLOOKUP('ESVD - Social Value of Bio'!T12&amp;"3",'ESVD - SUMMARY TABLE'!$E$2:$G$294,3,),0)+IF('Biodiversity Assessment'!$O$105&gt;0,'Biodiversity Assessment'!$O$105*VLOOKUP('ESVD - Social Value of Bio'!T12&amp;"4",'ESVD - SUMMARY TABLE'!$E$2:$G$294,3,),0),0),IF(S12='ESVD - Land Use &amp; Climate Match'!$A$11,IF(SUM('Biodiversity Assessment'!$AH$102:$AN$105)=SUM('Biodiversity Assessment'!$Z$102:$AF$105),IF('Biodiversity Assessment'!$AH$102&gt;0,'Biodiversity Assessment'!$AH$102*VLOOKUP('ESVD - Social Value of Bio'!T12&amp;"1",'ESVD - SUMMARY TABLE'!$E$2:$G$294,3,FALSE),0)+IF('Biodiversity Assessment'!$AH$103&gt;0,'Biodiversity Assessment'!$AH$103*VLOOKUP('ESVD - Social Value of Bio'!T12&amp;"2",'ESVD - SUMMARY TABLE'!$E$2:$G$294,3,FALSE),0)+IF('Biodiversity Assessment'!$AH$104&gt;0,'Biodiversity Assessment'!$AH$104*VLOOKUP('ESVD - Social Value of Bio'!T12&amp;"3",'ESVD - SUMMARY TABLE'!$E$2:$G$294,3,FALSE),0)+IF('Biodiversity Assessment'!$AH$105&gt;0,'Biodiversity Assessment'!$AH$105*VLOOKUP('ESVD - Social Value of Bio'!T12&amp;"4",'ESVD - SUMMARY TABLE'!$E$2:$G$294,3,FALSE),0),0),IF(S12='ESVD - Land Use &amp; Climate Match'!$A$32,IF(SUM('Biodiversity Assessment'!$BF$102:$BF$106)=SUM('Biodiversity Assessment'!$BD$102:$BD$106),IF('Biodiversity Assessment'!$BF$102&gt;0,'Biodiversity Assessment'!$BF$102*VLOOKUP('ESVD - Social Value of Bio'!T12&amp;"1",'ESVD - SUMMARY TABLE'!$E$2:$G$294,3,FALSE),0)+IF('Biodiversity Assessment'!$BF$103&gt;0,'Biodiversity Assessment'!$BF$103*VLOOKUP('ESVD - Social Value of Bio'!T12&amp;"2",'ESVD - SUMMARY TABLE'!$E$2:$G$294,3,FALSE),0)+IF('Biodiversity Assessment'!$BF$104&gt;0,'Biodiversity Assessment'!$BF$104*VLOOKUP('ESVD - Social Value of Bio'!T12&amp;"3",'ESVD - SUMMARY TABLE'!$E$2:$G$294,3,FALSE),0)+IF('Biodiversity Assessment'!$BF$105&gt;0,'Biodiversity Assessment'!$BF$105*VLOOKUP('ESVD - Social Value of Bio'!T12&amp;"4",'ESVD - SUMMARY TABLE'!$E$2:$G$294,3,FALSE),0)+IF('Biodiversity Assessment'!$BF$106&gt;0,'Biodiversity Assessment'!$BF$106*VLOOKUP('ESVD - Social Value of Bio'!T12&amp;"5",'ESVD - SUMMARY TABLE'!$E$2:$G$294,3,FALSE),0),0),AVERAGE(IF(SUM('Biodiversity Assessment'!$O$102:$P$105)=SUM('Biodiversity Assessment'!$J$102:$M$105),IF('Biodiversity Assessment'!$O$102&gt;0,'Biodiversity Assessment'!$O$102*VLOOKUP(CONCATENATE($B12,$C12,'ESVD - Land Use &amp; Climate Match'!$A$1)&amp;"1",'ESVD - SUMMARY TABLE'!$E$2:$G$294,3,),0)+IF('Biodiversity Assessment'!$O$103&gt;0,'Biodiversity Assessment'!$O$103*VLOOKUP(CONCATENATE($B12,$C12,'ESVD - Land Use &amp; Climate Match'!$A$1)&amp;"2",'ESVD - SUMMARY TABLE'!$E$2:$G$294,3,),0)+IF('Biodiversity Assessment'!$O$104&gt;0,'Biodiversity Assessment'!$O$104*VLOOKUP(CONCATENATE($B12,$C12,'ESVD - Land Use &amp; Climate Match'!$A$1)&amp;"3",'ESVD - SUMMARY TABLE'!$E$2:$G$294,3,),0)+IF('Biodiversity Assessment'!$O$105&gt;0,'Biodiversity Assessment'!$O$105*VLOOKUP(CONCATENATE($B12,$C12,'ESVD - Land Use &amp; Climate Match'!$A$1)&amp;"4",'ESVD - SUMMARY TABLE'!$E$2:$G$294,3,),0),0),IF(SUM('Biodiversity Assessment'!$AH$102:$AN$105)=SUM('Biodiversity Assessment'!$Z$102:$AF$105),IF('Biodiversity Assessment'!$AH$102&gt;0,'Biodiversity Assessment'!$AH$102*VLOOKUP(CONCATENATE($B12,$C12,'ESVD - Land Use &amp; Climate Match'!$A$11)&amp;"1",'ESVD - SUMMARY TABLE'!$E$2:$G$294,3,FALSE),0)+IF('Biodiversity Assessment'!$AH$103&gt;0,'Biodiversity Assessment'!$AH$103*VLOOKUP(CONCATENATE($B12,$C12,'ESVD - Land Use &amp; Climate Match'!$A$11)&amp;"2",'ESVD - SUMMARY TABLE'!$E$2:$G$294,3,FALSE),0)+IF('Biodiversity Assessment'!$AH$104&gt;0,'Biodiversity Assessment'!$AH$104*VLOOKUP(CONCATENATE($B12,$C12,'ESVD - Land Use &amp; Climate Match'!$A$11)&amp;"3",'ESVD - SUMMARY TABLE'!$E$2:$G$294,3,FALSE),0)+IF('Biodiversity Assessment'!$AH$105&gt;0,'Biodiversity Assessment'!$AH$105*VLOOKUP(CONCATENATE($B12,$C12,'ESVD - Land Use &amp; Climate Match'!$A$11)&amp;"4",'ESVD - SUMMARY TABLE'!$E$2:$G$294,3,FALSE),0),0),IF(SUM('Biodiversity Assessment'!$BF$102:$BF$106)=SUM('Biodiversity Assessment'!$BD$102:$BD$106),IF('Biodiversity Assessment'!$BF$102&gt;0,'Biodiversity Assessment'!$BF$102*VLOOKUP(CONCATENATE($B12,$C12,'ESVD - Land Use &amp; Climate Match'!$A$32)&amp;"1",'ESVD - SUMMARY TABLE'!$E$2:$G$294,3,FALSE),0)+IF('Biodiversity Assessment'!$BF$103&gt;0,'Biodiversity Assessment'!$BF$103*VLOOKUP(CONCATENATE($B12,$C12,'ESVD - Land Use &amp; Climate Match'!$A$32)&amp;"2",'ESVD - SUMMARY TABLE'!$E$2:$G$294,3,FALSE),0)+IF('Biodiversity Assessment'!$BF$104&gt;0,'Biodiversity Assessment'!$BF$104*VLOOKUP(CONCATENATE($B12,$C12,'ESVD - Land Use &amp; Climate Match'!$A$32)&amp;"3",'ESVD - SUMMARY TABLE'!$E$2:$G$294,3,FALSE),0)+IF('Biodiversity Assessment'!$BF$105&gt;0,'Biodiversity Assessment'!$BF$105*VLOOKUP(CONCATENATE($B12,$C12,'ESVD - Land Use &amp; Climate Match'!$A$32)&amp;"4",'ESVD - SUMMARY TABLE'!$E$2:$G$294,3,FALSE),0)+IF('Biodiversity Assessment'!$BF$106&gt;0,'Biodiversity Assessment'!$BF$106*VLOOKUP(CONCATENATE($B12,$C12,'ESVD - Land Use &amp; Climate Match'!$A$32)&amp;"5",'ESVD - SUMMARY TABLE'!$E$2:$G$294,3,FALSE),0),0))))),0)</f>
        <v>0</v>
      </c>
      <c r="W12" s="122">
        <f>'Biodiversity Assessment'!CX27</f>
        <v>0</v>
      </c>
      <c r="X12" s="122">
        <f>IFERROR(IF(W12&gt;0,W12*'Biodiversity Assessment'!$U27,IF(V12&gt;0,V12*'Biodiversity Assessment'!$U27,U12*'Biodiversity Assessment'!$U27)),0)</f>
        <v>0</v>
      </c>
      <c r="Y12" s="454"/>
      <c r="Z12" s="123">
        <f>IFERROR(IF(S12='ESVD - Land Use &amp; Climate Match'!$A$1,IF('Biodiversity Assessment'!$J$102&gt;0,'Biodiversity Assessment'!$J$102*VLOOKUP('ESVD - Social Value of Bio'!T12&amp;"1",'ESVD - SUMMARY TABLE'!$E$2:$G$294,3,),0)+IF('Biodiversity Assessment'!$J$103&gt;0,'Biodiversity Assessment'!$J$103*VLOOKUP('ESVD - Social Value of Bio'!T12&amp;"2",'ESVD - SUMMARY TABLE'!$E$2:$G$294,3,),0)+IF('Biodiversity Assessment'!$J$104&gt;0,'Biodiversity Assessment'!$J$104*VLOOKUP('ESVD - Social Value of Bio'!T12&amp;"3",'ESVD - SUMMARY TABLE'!$E$2:$G$294,3,),0)+IF('Biodiversity Assessment'!$J$105&gt;0,'Biodiversity Assessment'!$J$105*VLOOKUP('ESVD - Social Value of Bio'!T12&amp;"4",'ESVD - SUMMARY TABLE'!$E$2:$G$294,3,),0),IF(S12='ESVD - Land Use &amp; Climate Match'!$A$11,IF('Biodiversity Assessment'!$Z$102&gt;0,'Biodiversity Assessment'!$Z$102*VLOOKUP('ESVD - Social Value of Bio'!T12&amp;"1",'ESVD - SUMMARY TABLE'!$E$2:$G$294,3,FALSE),0)+IF('Biodiversity Assessment'!$Z$103&gt;0,'Biodiversity Assessment'!$Z$103*VLOOKUP('ESVD - Social Value of Bio'!T12&amp;"2",'ESVD - SUMMARY TABLE'!$E$2:$G$294,3,FALSE),0)+IF('Biodiversity Assessment'!$Z$104&gt;0,'Biodiversity Assessment'!$Z$104*VLOOKUP('ESVD - Social Value of Bio'!T12&amp;"3",'ESVD - SUMMARY TABLE'!$E$2:$G$294,3,FALSE),0)+IF('Biodiversity Assessment'!$Z$105&gt;0,'Biodiversity Assessment'!$Z$105*VLOOKUP('ESVD - Social Value of Bio'!T12&amp;"4",'ESVD - SUMMARY TABLE'!$E$2:$G$294,3,FALSE),0),IF(S12='ESVD - Land Use &amp; Climate Match'!$A$32,IF('Biodiversity Assessment'!$BD$102&gt;0,'Biodiversity Assessment'!$BD$102*VLOOKUP('ESVD - Social Value of Bio'!T12&amp;"1",'ESVD - SUMMARY TABLE'!$E$2:$G$294,3,FALSE),0)+IF('Biodiversity Assessment'!$BD$103&gt;0,'Biodiversity Assessment'!$BD$103*VLOOKUP('ESVD - Social Value of Bio'!T12&amp;"2",'ESVD - SUMMARY TABLE'!$E$2:$G$294,3,FALSE),0)+IF('Biodiversity Assessment'!$BD$104&gt;0,'Biodiversity Assessment'!$BD$104*VLOOKUP('ESVD - Social Value of Bio'!T12&amp;"3",'ESVD - SUMMARY TABLE'!$E$2:$G$294,3,FALSE),0)+IF('Biodiversity Assessment'!$BD$105&gt;0,'Biodiversity Assessment'!$BD$105*VLOOKUP('ESVD - Social Value of Bio'!T12&amp;"4",'ESVD - SUMMARY TABLE'!$E$2:$G$294,3,FALSE),0)+IF('Biodiversity Assessment'!$BD$106&gt;0,'Biodiversity Assessment'!$BD$106*VLOOKUP('ESVD - Social Value of Bio'!T12&amp;"5",'ESVD - SUMMARY TABLE'!$E$2:$G$294,3,FALSE),0),VLOOKUP('ESVD - Social Value of Bio'!T12&amp;"1",'ESVD - SUMMARY TABLE'!$E$2:$G$294,3,FALSE)))),0)</f>
        <v>0</v>
      </c>
      <c r="AA12" s="123">
        <f>IFERROR(IF(S12='ESVD - Land Use &amp; Climate Match'!$A$1,IF(SUM('Biodiversity Assessment'!$O$102:$P$105)=SUM('Biodiversity Assessment'!$J$102:$M$105),IF('Biodiversity Assessment'!$O$102&gt;0,'Biodiversity Assessment'!$O$102*VLOOKUP('ESVD - Social Value of Bio'!T12&amp;"1",'ESVD - SUMMARY TABLE'!$E$2:$G$294,3,),0)+IF('Biodiversity Assessment'!$O$103&gt;0,'Biodiversity Assessment'!$O$103*VLOOKUP('ESVD - Social Value of Bio'!T12&amp;"2",'ESVD - SUMMARY TABLE'!$E$2:$G$294,3,),0)+IF('Biodiversity Assessment'!$O$104&gt;0,'Biodiversity Assessment'!$O$104*VLOOKUP('ESVD - Social Value of Bio'!T12&amp;"3",'ESVD - SUMMARY TABLE'!$E$2:$G$294,3,),0)+IF('Biodiversity Assessment'!$O$105&gt;0,'Biodiversity Assessment'!$O$105*VLOOKUP('ESVD - Social Value of Bio'!T12&amp;"4",'ESVD - SUMMARY TABLE'!$E$2:$G$294,3,),0),0),IF(S12='ESVD - Land Use &amp; Climate Match'!$A$11,IF(SUM('Biodiversity Assessment'!$AH$102:$AN$105)=SUM('Biodiversity Assessment'!$Z$102:$AF$105),IF('Biodiversity Assessment'!$AH$102&gt;0,'Biodiversity Assessment'!$AH$102*VLOOKUP('ESVD - Social Value of Bio'!T12&amp;"1",'ESVD - SUMMARY TABLE'!$E$2:$G$294,3,FALSE),0)+IF('Biodiversity Assessment'!$AH$103&gt;0,'Biodiversity Assessment'!$AH$103*VLOOKUP('ESVD - Social Value of Bio'!T12&amp;"2",'ESVD - SUMMARY TABLE'!$E$2:$G$294,3,FALSE),0)+IF('Biodiversity Assessment'!$AH$104&gt;0,'Biodiversity Assessment'!$AH$104*VLOOKUP('ESVD - Social Value of Bio'!T12&amp;"3",'ESVD - SUMMARY TABLE'!$E$2:$G$294,3,FALSE),0)+IF('Biodiversity Assessment'!$AH$105&gt;0,'Biodiversity Assessment'!$AH$105*VLOOKUP('ESVD - Social Value of Bio'!T12&amp;"4",'ESVD - SUMMARY TABLE'!$E$2:$G$294,3,FALSE),0),0),IF(S12='ESVD - Land Use &amp; Climate Match'!$A$32,IF(SUM('Biodiversity Assessment'!$BF$102:$BF$106)=SUM('Biodiversity Assessment'!$BD$102:$BD$106),IF('Biodiversity Assessment'!$BF$102&gt;0,'Biodiversity Assessment'!$BF$102*VLOOKUP('ESVD - Social Value of Bio'!T12&amp;"1",'ESVD - SUMMARY TABLE'!$E$2:$G$294,3,FALSE),0)+IF('Biodiversity Assessment'!$BF$103&gt;0,'Biodiversity Assessment'!$BF$103*VLOOKUP('ESVD - Social Value of Bio'!T12&amp;"2",'ESVD - SUMMARY TABLE'!$E$2:$G$294,3,FALSE),0)+IF('Biodiversity Assessment'!$BF$104&gt;0,'Biodiversity Assessment'!$BF$104*VLOOKUP('ESVD - Social Value of Bio'!T12&amp;"3",'ESVD - SUMMARY TABLE'!$E$2:$G$294,3,FALSE),0)+IF('Biodiversity Assessment'!$BF$105&gt;0,'Biodiversity Assessment'!$BF$105*VLOOKUP('ESVD - Social Value of Bio'!T12&amp;"4",'ESVD - SUMMARY TABLE'!$E$2:$G$294,3,FALSE),0)+IF('Biodiversity Assessment'!$BF$106&gt;0,'Biodiversity Assessment'!$BF$106*VLOOKUP('ESVD - Social Value of Bio'!T12&amp;"5",'ESVD - SUMMARY TABLE'!$E$2:$G$294,3,FALSE),0),0),VLOOKUP('ESVD - Social Value of Bio'!T12&amp;"1",'ESVD - SUMMARY TABLE'!$E$2:$G$294,3,FALSE)))),0)</f>
        <v>0</v>
      </c>
      <c r="AB12" s="123">
        <f>'Biodiversity Assessment'!CX27</f>
        <v>0</v>
      </c>
      <c r="AC12" s="124">
        <f>IFERROR(IF(AB12&gt;0,AB12*'Biodiversity Assessment'!U27,IF(AA12&gt;0,AA12*'Biodiversity Assessment'!U27,Z12*'Biodiversity Assessment'!U27)),0)</f>
        <v>0</v>
      </c>
      <c r="AD12" s="456"/>
      <c r="AG12" s="453"/>
    </row>
    <row r="13" spans="1:33" s="110" customFormat="1" ht="10.5" x14ac:dyDescent="0.25">
      <c r="A13" s="107" t="s">
        <v>218</v>
      </c>
      <c r="B13" s="108" t="str">
        <f>IF(Start!$D$28&gt;1000,CONCATENATE(Start!$D$20," Mountain"),Start!$D$20)</f>
        <v>Please select</v>
      </c>
      <c r="C13" s="108" t="str">
        <f>Start!$D$24</f>
        <v>Please select</v>
      </c>
      <c r="D13" s="109" t="str">
        <f>'Biodiversity Assessment'!G28</f>
        <v>Select land use</v>
      </c>
      <c r="E13" s="109" t="str">
        <f>IF(OR(D13=Data!$E$4,D13=Data!$E$5,D13=Data!$E$6,D13=Data!$E$7),Data!$E$4,IF(OR(D13=Data!$E$9,D13=Data!$E$10,D13=Data!$E$11),Data!$E$9,IF(OR(D13=Data!$E$12,D13=Data!$E$13,D13=Data!$E$14),"Cropland",IF(OR(D13=Data!$E$16,D13=Data!$E$17),"Agroforestry",D13))))</f>
        <v>Select land use</v>
      </c>
      <c r="F13" s="109" t="str">
        <f t="shared" si="0"/>
        <v>Please selectPlease selectSelect land use</v>
      </c>
      <c r="G13" s="122">
        <f>IFERROR(IF(E13='ESVD - Land Use &amp; Climate Match'!$A$1,IF('Biodiversity Assessment'!$J$102&gt;0,'Biodiversity Assessment'!$J$102*VLOOKUP('ESVD - Social Value of Bio'!F13&amp;"1",'ESVD - SUMMARY TABLE'!$E$2:$G$294,3,),0)+IF('Biodiversity Assessment'!$J$103&gt;0,'Biodiversity Assessment'!$J$103*VLOOKUP('ESVD - Social Value of Bio'!F13&amp;"2",'ESVD - SUMMARY TABLE'!$E$2:$G$294,3,),0)+IF('Biodiversity Assessment'!$J$104&gt;0,'Biodiversity Assessment'!$J$104*VLOOKUP('ESVD - Social Value of Bio'!F13&amp;"3",'ESVD - SUMMARY TABLE'!$E$2:$G$294,3,),0)+IF('Biodiversity Assessment'!$J$105&gt;0,'Biodiversity Assessment'!$J$105*VLOOKUP('ESVD - Social Value of Bio'!F13&amp;"4",'ESVD - SUMMARY TABLE'!$E$2:$G$294,3,),0),IF(E13='ESVD - Land Use &amp; Climate Match'!$A$11,IF('Biodiversity Assessment'!$Z$102&gt;0,'Biodiversity Assessment'!$Z$102*VLOOKUP('ESVD - Social Value of Bio'!F13&amp;"1",'ESVD - SUMMARY TABLE'!$E$2:$G$294,3,FALSE),0)+IF('Biodiversity Assessment'!$Z$103&gt;0,'Biodiversity Assessment'!$Z$103*VLOOKUP('ESVD - Social Value of Bio'!F13&amp;"2",'ESVD - SUMMARY TABLE'!$E$2:$G$294,3,FALSE),0)+IF('Biodiversity Assessment'!$Z$104&gt;0,'Biodiversity Assessment'!$Z$104*VLOOKUP('ESVD - Social Value of Bio'!F13&amp;"3",'ESVD - SUMMARY TABLE'!$E$2:$G$294,3,FALSE),0)+IF('Biodiversity Assessment'!$Z$105&gt;0,'Biodiversity Assessment'!$Z$105*VLOOKUP('ESVD - Social Value of Bio'!F13&amp;"4",'ESVD - SUMMARY TABLE'!$E$2:$G$294,3,FALSE),0),IF(E13='ESVD - Land Use &amp; Climate Match'!$A$32,IF('Biodiversity Assessment'!$BD$102&gt;0,'Biodiversity Assessment'!$BD$102*VLOOKUP('ESVD - Social Value of Bio'!F13&amp;"1",'ESVD - SUMMARY TABLE'!$E$2:$G$294,3,FALSE),0)+IF('Biodiversity Assessment'!$BD$103&gt;0,'Biodiversity Assessment'!$BD$103*VLOOKUP('ESVD - Social Value of Bio'!F13&amp;"2",'ESVD - SUMMARY TABLE'!$E$2:$G$294,3,FALSE),0)+IF('Biodiversity Assessment'!$BD$104&gt;0,'Biodiversity Assessment'!$BD$104*VLOOKUP('ESVD - Social Value of Bio'!F13&amp;"3",'ESVD - SUMMARY TABLE'!$E$2:$G$294,3,FALSE),0)+IF('Biodiversity Assessment'!$BD$105&gt;0,'Biodiversity Assessment'!$BD$105*VLOOKUP('ESVD - Social Value of Bio'!F13&amp;"4",'ESVD - SUMMARY TABLE'!$E$2:$G$294,3,FALSE),0)+IF('Biodiversity Assessment'!$BD$106&gt;0,'Biodiversity Assessment'!$BD$106*VLOOKUP('ESVD - Social Value of Bio'!F13&amp;"5",'ESVD - SUMMARY TABLE'!$E$2:$G$294,3,FALSE),0),AVERAGE(IF('Biodiversity Assessment'!$J$102&gt;0,'Biodiversity Assessment'!$J$102*VLOOKUP(CONCATENATE($B13,$C13,'ESVD - Land Use &amp; Climate Match'!$A$1)&amp;"1",'ESVD - SUMMARY TABLE'!$E$2:$G$294,3,),0)+IF('Biodiversity Assessment'!$J$103&gt;0,'Biodiversity Assessment'!$J$103*VLOOKUP(CONCATENATE($B13,$C13,'ESVD - Land Use &amp; Climate Match'!$A$1)&amp;"2",'ESVD - SUMMARY TABLE'!$E$2:$G$294,3,),0)+IF('Biodiversity Assessment'!$J$104&gt;0,'Biodiversity Assessment'!$J$104*VLOOKUP(CONCATENATE($B13,$C13,'ESVD - Land Use &amp; Climate Match'!$A$1)&amp;"3",'ESVD - SUMMARY TABLE'!$E$2:$G$294,3,),0)+IF('Biodiversity Assessment'!$J$105&gt;0,'Biodiversity Assessment'!$J$105*VLOOKUP(CONCATENATE($B13,$C13,'ESVD - Land Use &amp; Climate Match'!$A$1)&amp;"4",'ESVD - SUMMARY TABLE'!$E$2:$G$294,3,),0),IF('Biodiversity Assessment'!$Z$102&gt;0,'Biodiversity Assessment'!$Z$102*VLOOKUP(CONCATENATE($B13,$C13,'ESVD - Land Use &amp; Climate Match'!$A$11)&amp;"1",'ESVD - SUMMARY TABLE'!$E$2:$G$294,3,FALSE),0)+IF('Biodiversity Assessment'!$Z$103&gt;0,'Biodiversity Assessment'!$Z$103*VLOOKUP(CONCATENATE($B13,$C13,'ESVD - Land Use &amp; Climate Match'!$A$11)&amp;"2",'ESVD - SUMMARY TABLE'!$E$2:$G$294,3,FALSE),0)+IF('Biodiversity Assessment'!$Z$104&gt;0,'Biodiversity Assessment'!$Z$104*VLOOKUP(CONCATENATE($B13,$C13,'ESVD - Land Use &amp; Climate Match'!$A$11)&amp;"3",'ESVD - SUMMARY TABLE'!$E$2:$G$294,3,FALSE),0)+IF('Biodiversity Assessment'!$Z$105&gt;0,'Biodiversity Assessment'!$Z$105*VLOOKUP(CONCATENATE($B13,$C13,'ESVD - Land Use &amp; Climate Match'!$A$11)&amp;"4",'ESVD - SUMMARY TABLE'!$E$2:$G$294,3,FALSE),0),IF('Biodiversity Assessment'!$BD$102&gt;0,'Biodiversity Assessment'!$BD$102*VLOOKUP(CONCATENATE($B13,$C13,'ESVD - Land Use &amp; Climate Match'!$A$32)&amp;"1",'ESVD - SUMMARY TABLE'!$E$2:$G$294,3,FALSE),0)+IF('Biodiversity Assessment'!$BD$103&gt;0,'Biodiversity Assessment'!$BD$103*VLOOKUP(CONCATENATE($B13,$C13,'ESVD - Land Use &amp; Climate Match'!$A$32)&amp;"2",'ESVD - SUMMARY TABLE'!$E$2:$G$294,3,FALSE),0)+IF('Biodiversity Assessment'!$BD$104&gt;0,'Biodiversity Assessment'!$BD$104*VLOOKUP(CONCATENATE($B13,$C13,'ESVD - Land Use &amp; Climate Match'!$A$32)&amp;"3",'ESVD - SUMMARY TABLE'!$E$2:$G$294,3,FALSE),0)+IF('Biodiversity Assessment'!$BD$105&gt;0,'Biodiversity Assessment'!$BD$105*VLOOKUP(CONCATENATE($B13,$C13,'ESVD - Land Use &amp; Climate Match'!$A$32)&amp;"4",'ESVD - SUMMARY TABLE'!$E$2:$G$294,3,FALSE),0)+IF('Biodiversity Assessment'!$BD$106&gt;0,'Biodiversity Assessment'!$BD$106*VLOOKUP(CONCATENATE($B13,$C13,'ESVD - Land Use &amp; Climate Match'!$A$32)&amp;"5",'ESVD - SUMMARY TABLE'!$E$2:$G$294,3,FALSE)))))),0)</f>
        <v>0</v>
      </c>
      <c r="H13" s="122">
        <f>IFERROR(IF(E13='ESVD - Land Use &amp; Climate Match'!$A$1,IF(SUM('Biodiversity Assessment'!$O$102:$P$105)=SUM('Biodiversity Assessment'!$J$102:$M$105),IF('Biodiversity Assessment'!$O$102&gt;0,'Biodiversity Assessment'!$O$102*VLOOKUP('ESVD - Social Value of Bio'!F13&amp;"1",'ESVD - SUMMARY TABLE'!$E$2:$G$294,3,),0)+IF('Biodiversity Assessment'!$O$103&gt;0,'Biodiversity Assessment'!$O$103*VLOOKUP('ESVD - Social Value of Bio'!F13&amp;"2",'ESVD - SUMMARY TABLE'!$E$2:$G$294,3,),0)+IF('Biodiversity Assessment'!$O$104&gt;0,'Biodiversity Assessment'!$O$104*VLOOKUP('ESVD - Social Value of Bio'!F13&amp;"3",'ESVD - SUMMARY TABLE'!$E$2:$G$294,3,),0)+IF('Biodiversity Assessment'!$O$105&gt;0,'Biodiversity Assessment'!$O$105*VLOOKUP('ESVD - Social Value of Bio'!F13&amp;"4",'ESVD - SUMMARY TABLE'!$E$2:$G$294,3,),0),0),IF(E13='ESVD - Land Use &amp; Climate Match'!$A$11,IF(SUM('Biodiversity Assessment'!$AH$102:$AN$105)=SUM('Biodiversity Assessment'!$Z$102:$AF$105),IF('Biodiversity Assessment'!$AH$102&gt;0,'Biodiversity Assessment'!$AH$102*VLOOKUP('ESVD - Social Value of Bio'!F13&amp;"1",'ESVD - SUMMARY TABLE'!$E$2:$G$294,3,FALSE),0)+IF('Biodiversity Assessment'!$AH$103&gt;0,'Biodiversity Assessment'!$AH$103*VLOOKUP('ESVD - Social Value of Bio'!F13&amp;"2",'ESVD - SUMMARY TABLE'!$E$2:$G$294,3,FALSE),0)+IF('Biodiversity Assessment'!$AH$104&gt;0,'Biodiversity Assessment'!$AH$104*VLOOKUP('ESVD - Social Value of Bio'!F13&amp;"3",'ESVD - SUMMARY TABLE'!$E$2:$G$294,3,FALSE),0)+IF('Biodiversity Assessment'!$AH$105&gt;0,'Biodiversity Assessment'!$AH$105*VLOOKUP('ESVD - Social Value of Bio'!F13&amp;"4",'ESVD - SUMMARY TABLE'!$E$2:$G$294,3,FALSE),0),0),IF(E13='ESVD - Land Use &amp; Climate Match'!$A$32,IF(SUM('Biodiversity Assessment'!$BF$102:$BF$106)=SUM('Biodiversity Assessment'!$BD$102:$BD$106),IF('Biodiversity Assessment'!$BF$102&gt;0,'Biodiversity Assessment'!$BF$102*VLOOKUP('ESVD - Social Value of Bio'!F13&amp;"1",'ESVD - SUMMARY TABLE'!$E$2:$G$294,3,FALSE),0)+IF('Biodiversity Assessment'!$BF$103&gt;0,'Biodiversity Assessment'!$BF$103*VLOOKUP('ESVD - Social Value of Bio'!F13&amp;"2",'ESVD - SUMMARY TABLE'!$E$2:$G$294,3,FALSE),0)+IF('Biodiversity Assessment'!$BF$104&gt;0,'Biodiversity Assessment'!$BF$104*VLOOKUP('ESVD - Social Value of Bio'!F13&amp;"3",'ESVD - SUMMARY TABLE'!$E$2:$G$294,3,FALSE),0)+IF('Biodiversity Assessment'!$BF$105&gt;0,'Biodiversity Assessment'!$BF$105*VLOOKUP('ESVD - Social Value of Bio'!F13&amp;"4",'ESVD - SUMMARY TABLE'!$E$2:$G$294,3,FALSE),0)+IF('Biodiversity Assessment'!$BF$106&gt;0,'Biodiversity Assessment'!$BF$106*VLOOKUP('ESVD - Social Value of Bio'!F13&amp;"5",'ESVD - SUMMARY TABLE'!$E$2:$G$294,3,FALSE),0),0),AVERAGE(IF(SUM('Biodiversity Assessment'!$O$102:$P$105)=SUM('Biodiversity Assessment'!$J$102:$M$105),IF('Biodiversity Assessment'!$O$102&gt;0,'Biodiversity Assessment'!$O$102*VLOOKUP(CONCATENATE($B13,$C13,'ESVD - Land Use &amp; Climate Match'!$A$1)&amp;"1",'ESVD - SUMMARY TABLE'!$E$2:$G$294,3,),0)+IF('Biodiversity Assessment'!$O$103&gt;0,'Biodiversity Assessment'!$O$103*VLOOKUP(CONCATENATE($B13,$C13,'ESVD - Land Use &amp; Climate Match'!$A$1)&amp;"2",'ESVD - SUMMARY TABLE'!$E$2:$G$294,3,),0)+IF('Biodiversity Assessment'!$O$104&gt;0,'Biodiversity Assessment'!$O$104*VLOOKUP(CONCATENATE($B13,$C13,'ESVD - Land Use &amp; Climate Match'!$A$1)&amp;"3",'ESVD - SUMMARY TABLE'!$E$2:$G$294,3,),0)+IF('Biodiversity Assessment'!$O$105&gt;0,'Biodiversity Assessment'!$O$105*VLOOKUP(CONCATENATE($B13,$C13,'ESVD - Land Use &amp; Climate Match'!$A$1)&amp;"4",'ESVD - SUMMARY TABLE'!$E$2:$G$294,3,),0),0),IF(SUM('Biodiversity Assessment'!$AH$102:$AN$105)=SUM('Biodiversity Assessment'!$Z$102:$AF$105),IF('Biodiversity Assessment'!$AH$102&gt;0,'Biodiversity Assessment'!$AH$102*VLOOKUP(CONCATENATE($B13,$C13,'ESVD - Land Use &amp; Climate Match'!$A$11)&amp;"1",'ESVD - SUMMARY TABLE'!$E$2:$G$294,3,FALSE),0)+IF('Biodiversity Assessment'!$AH$103&gt;0,'Biodiversity Assessment'!$AH$103*VLOOKUP(CONCATENATE($B13,$C13,'ESVD - Land Use &amp; Climate Match'!$A$11)&amp;"2",'ESVD - SUMMARY TABLE'!$E$2:$G$294,3,FALSE),0)+IF('Biodiversity Assessment'!$AH$104&gt;0,'Biodiversity Assessment'!$AH$104*VLOOKUP(CONCATENATE($B13,$C13,'ESVD - Land Use &amp; Climate Match'!$A$11)&amp;"3",'ESVD - SUMMARY TABLE'!$E$2:$G$294,3,FALSE),0)+IF('Biodiversity Assessment'!$AH$105&gt;0,'Biodiversity Assessment'!$AH$105*VLOOKUP(CONCATENATE($B13,$C13,'ESVD - Land Use &amp; Climate Match'!$A$11)&amp;"4",'ESVD - SUMMARY TABLE'!$E$2:$G$294,3,FALSE),0),0),IF(SUM('Biodiversity Assessment'!$BF$102:$BF$106)=SUM('Biodiversity Assessment'!$BD$102:$BD$106),IF('Biodiversity Assessment'!$BF$102&gt;0,'Biodiversity Assessment'!$BF$102*VLOOKUP(CONCATENATE($B13,$C13,'ESVD - Land Use &amp; Climate Match'!$A$32)&amp;"1",'ESVD - SUMMARY TABLE'!$E$2:$G$294,3,FALSE),0)+IF('Biodiversity Assessment'!$BF$103&gt;0,'Biodiversity Assessment'!$BF$103*VLOOKUP(CONCATENATE($B13,$C13,'ESVD - Land Use &amp; Climate Match'!$A$32)&amp;"2",'ESVD - SUMMARY TABLE'!$E$2:$G$294,3,FALSE),0)+IF('Biodiversity Assessment'!$BF$104&gt;0,'Biodiversity Assessment'!$BF$104*VLOOKUP(CONCATENATE($B13,$C13,'ESVD - Land Use &amp; Climate Match'!$A$32)&amp;"3",'ESVD - SUMMARY TABLE'!$E$2:$G$294,3,FALSE),0)+IF('Biodiversity Assessment'!$BF$105&gt;0,'Biodiversity Assessment'!$BF$105*VLOOKUP(CONCATENATE($B13,$C13,'ESVD - Land Use &amp; Climate Match'!$A$32)&amp;"4",'ESVD - SUMMARY TABLE'!$E$2:$G$294,3,FALSE),0)+IF('Biodiversity Assessment'!$BF$106&gt;0,'Biodiversity Assessment'!$BF$106*VLOOKUP(CONCATENATE($B13,$C13,'ESVD - Land Use &amp; Climate Match'!$A$32)&amp;"5",'ESVD - SUMMARY TABLE'!$E$2:$G$294,3,FALSE),0),0))))),0)</f>
        <v>0</v>
      </c>
      <c r="I13" s="122">
        <f>'Biodiversity Assessment'!CR28</f>
        <v>0</v>
      </c>
      <c r="J13" s="122">
        <f>IFERROR(IF(I13&gt;0,I13*'Biodiversity Assessment'!$M28,IF(H13&gt;0,H13*'Biodiversity Assessment'!$M28,G13*'Biodiversity Assessment'!$M28)),0)</f>
        <v>0</v>
      </c>
      <c r="K13" s="454"/>
      <c r="L13" s="123">
        <f>IFERROR(IF(E13='ESVD - Land Use &amp; Climate Match'!$A$1,IF('Biodiversity Assessment'!$J$102&gt;0,'Biodiversity Assessment'!$J$102*VLOOKUP('ESVD - Social Value of Bio'!F13&amp;"1",'ESVD - SUMMARY TABLE'!$E$2:$G$294,3,),0)+IF('Biodiversity Assessment'!$J$103&gt;0,'Biodiversity Assessment'!$J$103*VLOOKUP('ESVD - Social Value of Bio'!F13&amp;"2",'ESVD - SUMMARY TABLE'!$E$2:$G$294,3,),0)+IF('Biodiversity Assessment'!$J$104&gt;0,'Biodiversity Assessment'!$J$104*VLOOKUP('ESVD - Social Value of Bio'!F13&amp;"3",'ESVD - SUMMARY TABLE'!$E$2:$G$294,3,),0)+IF('Biodiversity Assessment'!$J$105&gt;0,'Biodiversity Assessment'!$J$105*VLOOKUP('ESVD - Social Value of Bio'!F13&amp;"4",'ESVD - SUMMARY TABLE'!$E$2:$G$294,3,),0),IF(E13='ESVD - Land Use &amp; Climate Match'!$A$11,IF('Biodiversity Assessment'!$Z$102&gt;0,'Biodiversity Assessment'!$Z$102*VLOOKUP('ESVD - Social Value of Bio'!F13&amp;"1",'ESVD - SUMMARY TABLE'!$E$2:$G$294,3,FALSE),0)+IF('Biodiversity Assessment'!$Z$103&gt;0,'Biodiversity Assessment'!$Z$103*VLOOKUP('ESVD - Social Value of Bio'!F13&amp;"2",'ESVD - SUMMARY TABLE'!$E$2:$G$294,3,FALSE),0)+IF('Biodiversity Assessment'!$Z$104&gt;0,'Biodiversity Assessment'!$Z$104*VLOOKUP('ESVD - Social Value of Bio'!F13&amp;"3",'ESVD - SUMMARY TABLE'!$E$2:$G$294,3,FALSE),0)+IF('Biodiversity Assessment'!$Z$105&gt;0,'Biodiversity Assessment'!$Z$105*VLOOKUP('ESVD - Social Value of Bio'!F13&amp;"4",'ESVD - SUMMARY TABLE'!$E$2:$G$294,3,FALSE),0),IF(E13='ESVD - Land Use &amp; Climate Match'!$A$32,IF('Biodiversity Assessment'!$BD$102&gt;0,'Biodiversity Assessment'!$BD$102*VLOOKUP('ESVD - Social Value of Bio'!F13&amp;"1",'ESVD - SUMMARY TABLE'!$E$2:$G$294,3,FALSE),0)+IF('Biodiversity Assessment'!$BD$103&gt;0,'Biodiversity Assessment'!$BD$103*VLOOKUP('ESVD - Social Value of Bio'!F13&amp;"2",'ESVD - SUMMARY TABLE'!$E$2:$G$294,3,FALSE),0)+IF('Biodiversity Assessment'!$BD$104&gt;0,'Biodiversity Assessment'!$BD$104*VLOOKUP('ESVD - Social Value of Bio'!F13&amp;"3",'ESVD - SUMMARY TABLE'!$E$2:$G$294,3,FALSE),0)+IF('Biodiversity Assessment'!$BD$105&gt;0,'Biodiversity Assessment'!$BD$105*VLOOKUP('ESVD - Social Value of Bio'!F13&amp;"4",'ESVD - SUMMARY TABLE'!$E$2:$G$294,3,FALSE),0)+IF('Biodiversity Assessment'!$BD$106&gt;0,'Biodiversity Assessment'!$BD$106*VLOOKUP('ESVD - Social Value of Bio'!F13&amp;"5",'ESVD - SUMMARY TABLE'!$E$2:$G$294,3,FALSE),0),VLOOKUP('ESVD - Social Value of Bio'!F13&amp;"1",'ESVD - SUMMARY TABLE'!$E$2:$G$294,3,FALSE)))),0)</f>
        <v>0</v>
      </c>
      <c r="M13" s="123">
        <f>IFERROR(IF(E13='ESVD - Land Use &amp; Climate Match'!$A$1,IF(SUM('Biodiversity Assessment'!$O$102:$P$105)=SUM('Biodiversity Assessment'!$J$102:$M$105),IF('Biodiversity Assessment'!$O$102&gt;0,'Biodiversity Assessment'!$O$102*VLOOKUP('ESVD - Social Value of Bio'!F13&amp;"1",'ESVD - SUMMARY TABLE'!$E$2:$G$294,3,),0)+IF('Biodiversity Assessment'!$O$103&gt;0,'Biodiversity Assessment'!$O$103*VLOOKUP('ESVD - Social Value of Bio'!F13&amp;"2",'ESVD - SUMMARY TABLE'!$E$2:$G$294,3,),0)+IF('Biodiversity Assessment'!$O$104&gt;0,'Biodiversity Assessment'!$O$104*VLOOKUP('ESVD - Social Value of Bio'!F13&amp;"3",'ESVD - SUMMARY TABLE'!$E$2:$G$294,3,),0)+IF('Biodiversity Assessment'!$O$105&gt;0,'Biodiversity Assessment'!$O$105*VLOOKUP('ESVD - Social Value of Bio'!F13&amp;"4",'ESVD - SUMMARY TABLE'!$E$2:$G$294,3,),0),0),IF(E13='ESVD - Land Use &amp; Climate Match'!$A$11,IF(SUM('Biodiversity Assessment'!$AH$102:$AN$105)=SUM('Biodiversity Assessment'!$Z$102:$AF$105),IF('Biodiversity Assessment'!$AH$102&gt;0,'Biodiversity Assessment'!$AH$102*VLOOKUP('ESVD - Social Value of Bio'!F13&amp;"1",'ESVD - SUMMARY TABLE'!$E$2:$G$294,3,FALSE),0)+IF('Biodiversity Assessment'!$AH$103&gt;0,'Biodiversity Assessment'!$AH$103*VLOOKUP('ESVD - Social Value of Bio'!F13&amp;"2",'ESVD - SUMMARY TABLE'!$E$2:$G$294,3,FALSE),0)+IF('Biodiversity Assessment'!$AH$104&gt;0,'Biodiversity Assessment'!$AH$104*VLOOKUP('ESVD - Social Value of Bio'!F13&amp;"3",'ESVD - SUMMARY TABLE'!$E$2:$G$294,3,FALSE),0)+IF('Biodiversity Assessment'!$AH$105&gt;0,'Biodiversity Assessment'!$AH$105*VLOOKUP('ESVD - Social Value of Bio'!F13&amp;"4",'ESVD - SUMMARY TABLE'!$E$2:$G$294,3,FALSE),0),0),IF(E13='ESVD - Land Use &amp; Climate Match'!$A$32,IF(SUM('Biodiversity Assessment'!$BF$102:$BF$106)=SUM('Biodiversity Assessment'!$BD$102:$BD$106),IF('Biodiversity Assessment'!$BF$102&gt;0,'Biodiversity Assessment'!$BF$102*VLOOKUP('ESVD - Social Value of Bio'!F13&amp;"1",'ESVD - SUMMARY TABLE'!$E$2:$G$294,3,FALSE),0)+IF('Biodiversity Assessment'!$BF$103&gt;0,'Biodiversity Assessment'!$BF$103*VLOOKUP('ESVD - Social Value of Bio'!F13&amp;"2",'ESVD - SUMMARY TABLE'!$E$2:$G$294,3,FALSE),0)+IF('Biodiversity Assessment'!$BF$104&gt;0,'Biodiversity Assessment'!$BF$104*VLOOKUP('ESVD - Social Value of Bio'!F13&amp;"3",'ESVD - SUMMARY TABLE'!$E$2:$G$294,3,FALSE),0)+IF('Biodiversity Assessment'!$BF$105&gt;0,'Biodiversity Assessment'!$BF$105*VLOOKUP('ESVD - Social Value of Bio'!F13&amp;"4",'ESVD - SUMMARY TABLE'!$E$2:$G$294,3,FALSE),0)+IF('Biodiversity Assessment'!$BF$106&gt;0,'Biodiversity Assessment'!$BF$106*VLOOKUP('ESVD - Social Value of Bio'!F13&amp;"5",'ESVD - SUMMARY TABLE'!$E$2:$G$294,3,FALSE),0),0),VLOOKUP('ESVD - Social Value of Bio'!F13&amp;"1",'ESVD - SUMMARY TABLE'!$E$2:$G$294,3,FALSE)))),0)</f>
        <v>0</v>
      </c>
      <c r="N13" s="123">
        <f>'Biodiversity Assessment'!CR28</f>
        <v>0</v>
      </c>
      <c r="O13" s="124">
        <f>IFERROR(IF(N13&gt;0,N13*'Biodiversity Assessment'!M28,IF(M13&gt;0,M13*'Biodiversity Assessment'!M28,L13*'Biodiversity Assessment'!M28)),0)</f>
        <v>0</v>
      </c>
      <c r="P13" s="456"/>
      <c r="R13" s="108" t="str">
        <f>'Biodiversity Assessment'!O28</f>
        <v>Select land use</v>
      </c>
      <c r="S13" s="109" t="str">
        <f>IF(OR(R13=Data!$E$4,R13=Data!$E$5,R13=Data!$E$6,R13=Data!$E$7),Data!$E$4,IF(OR(R13=Data!$E$9,R13=Data!$E$10,R13=Data!$E$11),Data!$E$9,IF(OR(R13=Data!$E$12,R13=Data!$E$13,R13=Data!$E$14),"Cropland",IF(OR(R13=Data!$E$16,R13=Data!$E$17),"Agroforestry",R13))))</f>
        <v>Select land use</v>
      </c>
      <c r="T13" s="109" t="str">
        <f t="shared" si="1"/>
        <v>Please selectPlease selectSelect land use</v>
      </c>
      <c r="U13" s="122">
        <f>IFERROR(IF(S13='ESVD - Land Use &amp; Climate Match'!$A$1,IF('Biodiversity Assessment'!$J$102&gt;0,'Biodiversity Assessment'!$J$102*VLOOKUP('ESVD - Social Value of Bio'!T13&amp;"1",'ESVD - SUMMARY TABLE'!$E$2:$G$294,3,),0)+IF('Biodiversity Assessment'!$J$103&gt;0,'Biodiversity Assessment'!$J$103*VLOOKUP('ESVD - Social Value of Bio'!T13&amp;"2",'ESVD - SUMMARY TABLE'!$E$2:$G$294,3,),0)+IF('Biodiversity Assessment'!$J$104&gt;0,'Biodiversity Assessment'!$J$104*VLOOKUP('ESVD - Social Value of Bio'!T13&amp;"3",'ESVD - SUMMARY TABLE'!$E$2:$G$294,3,),0)+IF('Biodiversity Assessment'!$J$105&gt;0,'Biodiversity Assessment'!$J$105*VLOOKUP('ESVD - Social Value of Bio'!T13&amp;"4",'ESVD - SUMMARY TABLE'!$E$2:$G$294,3,),0),IF(S13='ESVD - Land Use &amp; Climate Match'!$A$11,IF('Biodiversity Assessment'!$Z$102&gt;0,'Biodiversity Assessment'!$Z$102*VLOOKUP('ESVD - Social Value of Bio'!T13&amp;"1",'ESVD - SUMMARY TABLE'!$E$2:$G$294,3,FALSE),0)+IF('Biodiversity Assessment'!$Z$103&gt;0,'Biodiversity Assessment'!$Z$103*VLOOKUP('ESVD - Social Value of Bio'!T13&amp;"2",'ESVD - SUMMARY TABLE'!$E$2:$G$294,3,FALSE),0)+IF('Biodiversity Assessment'!$Z$104&gt;0,'Biodiversity Assessment'!$Z$104*VLOOKUP('ESVD - Social Value of Bio'!T13&amp;"3",'ESVD - SUMMARY TABLE'!$E$2:$G$294,3,FALSE),0)+IF('Biodiversity Assessment'!$Z$105&gt;0,'Biodiversity Assessment'!$Z$105*VLOOKUP('ESVD - Social Value of Bio'!T13&amp;"4",'ESVD - SUMMARY TABLE'!$E$2:$G$294,3,FALSE),0),IF(S13='ESVD - Land Use &amp; Climate Match'!$A$32,IF('Biodiversity Assessment'!$BD$102&gt;0,'Biodiversity Assessment'!$BD$102*VLOOKUP('ESVD - Social Value of Bio'!T13&amp;"1",'ESVD - SUMMARY TABLE'!$E$2:$G$294,3,FALSE),0)+IF('Biodiversity Assessment'!$BD$103&gt;0,'Biodiversity Assessment'!$BD$103*VLOOKUP('ESVD - Social Value of Bio'!T13&amp;"2",'ESVD - SUMMARY TABLE'!$E$2:$G$294,3,FALSE),0)+IF('Biodiversity Assessment'!$BD$104&gt;0,'Biodiversity Assessment'!$BD$104*VLOOKUP('ESVD - Social Value of Bio'!T13&amp;"3",'ESVD - SUMMARY TABLE'!$E$2:$G$294,3,FALSE),0)+IF('Biodiversity Assessment'!$BD$105&gt;0,'Biodiversity Assessment'!$BD$105*VLOOKUP('ESVD - Social Value of Bio'!T13&amp;"4",'ESVD - SUMMARY TABLE'!$E$2:$G$294,3,FALSE),0)+IF('Biodiversity Assessment'!$BD$106&gt;0,'Biodiversity Assessment'!$BD$106*VLOOKUP('ESVD - Social Value of Bio'!T13&amp;"5",'ESVD - SUMMARY TABLE'!$E$2:$G$294,3,FALSE),0),AVERAGE(IF('Biodiversity Assessment'!$J$102&gt;0,'Biodiversity Assessment'!$J$102*VLOOKUP(CONCATENATE(B13,C13,'ESVD - Land Use &amp; Climate Match'!$A$1)&amp;"1",'ESVD - SUMMARY TABLE'!$E$2:$G$294,3,),0)+IF('Biodiversity Assessment'!$J$103&gt;0,'Biodiversity Assessment'!$J$103*VLOOKUP(CONCATENATE(B13,C13,'ESVD - Land Use &amp; Climate Match'!$A$1)&amp;"2",'ESVD - SUMMARY TABLE'!$E$2:$G$294,3,),0)+IF('Biodiversity Assessment'!$J$104&gt;0,'Biodiversity Assessment'!$J$104*VLOOKUP(CONCATENATE(B13,C13,'ESVD - Land Use &amp; Climate Match'!$A$1)&amp;"3",'ESVD - SUMMARY TABLE'!$E$2:$G$294,3,),0)+IF('Biodiversity Assessment'!$J$105&gt;0,'Biodiversity Assessment'!$J$105*VLOOKUP(CONCATENATE(B13,C13,'ESVD - Land Use &amp; Climate Match'!$A$1)&amp;"4",'ESVD - SUMMARY TABLE'!$E$2:$G$294,3,),0),IF('Biodiversity Assessment'!$Z$102&gt;0,'Biodiversity Assessment'!$Z$102*VLOOKUP(CONCATENATE(B13,C13,'ESVD - Land Use &amp; Climate Match'!$A$11)&amp;"1",'ESVD - SUMMARY TABLE'!$E$2:$G$294,3,FALSE),0)+IF('Biodiversity Assessment'!$Z$103&gt;0,'Biodiversity Assessment'!$Z$103*VLOOKUP(CONCATENATE(B13,C13,'ESVD - Land Use &amp; Climate Match'!$A$11)&amp;"2",'ESVD - SUMMARY TABLE'!$E$2:$G$294,3,FALSE),0)+IF('Biodiversity Assessment'!$Z$104&gt;0,'Biodiversity Assessment'!$Z$104*VLOOKUP(CONCATENATE(B13,C13,'ESVD - Land Use &amp; Climate Match'!$A$11)&amp;"3",'ESVD - SUMMARY TABLE'!$E$2:$G$294,3,FALSE),0)+IF('Biodiversity Assessment'!$Z$105&gt;0,'Biodiversity Assessment'!$Z$105*VLOOKUP(CONCATENATE(B13,C13,'ESVD - Land Use &amp; Climate Match'!$A$11)&amp;"4",'ESVD - SUMMARY TABLE'!$E$2:$G$294,3,FALSE),0),IF('Biodiversity Assessment'!$BD$102&gt;0,'Biodiversity Assessment'!$BD$102*VLOOKUP(CONCATENATE(B13,C13,'ESVD - Land Use &amp; Climate Match'!$A$32)&amp;"1",'ESVD - SUMMARY TABLE'!$E$2:$G$294,3,FALSE),0)+IF('Biodiversity Assessment'!$BD$103&gt;0,'Biodiversity Assessment'!$BD$103*VLOOKUP(CONCATENATE(B13,C13,'ESVD - Land Use &amp; Climate Match'!$A$32)&amp;"2",'ESVD - SUMMARY TABLE'!$E$2:$G$294,3,FALSE),0)+IF('Biodiversity Assessment'!$BD$104&gt;0,'Biodiversity Assessment'!$BD$104*VLOOKUP(CONCATENATE(B13,C13,'ESVD - Land Use &amp; Climate Match'!$A$32)&amp;"3",'ESVD - SUMMARY TABLE'!$E$2:$G$294,3,FALSE),0)+IF('Biodiversity Assessment'!$BD$105&gt;0,'Biodiversity Assessment'!$BD$105*VLOOKUP(CONCATENATE(B13,C13,'ESVD - Land Use &amp; Climate Match'!$A$32)&amp;"4",'ESVD - SUMMARY TABLE'!$E$2:$G$294,3,FALSE),0)+IF('Biodiversity Assessment'!$BD$106&gt;0,'Biodiversity Assessment'!$BD$106*VLOOKUP(CONCATENATE(B13,C13,'ESVD - Land Use &amp; Climate Match'!$A$32)&amp;"5",'ESVD - SUMMARY TABLE'!$E$2:$G$294,3,FALSE)))))),0)</f>
        <v>0</v>
      </c>
      <c r="V13" s="122">
        <f>IFERROR(IF(S13='ESVD - Land Use &amp; Climate Match'!$A$1,IF(SUM('Biodiversity Assessment'!$O$102:$P$105)=SUM('Biodiversity Assessment'!$J$102:$M$105),IF('Biodiversity Assessment'!$O$102&gt;0,'Biodiversity Assessment'!$O$102*VLOOKUP('ESVD - Social Value of Bio'!T13&amp;"1",'ESVD - SUMMARY TABLE'!$E$2:$G$294,3,),0)+IF('Biodiversity Assessment'!$O$103&gt;0,'Biodiversity Assessment'!$O$103*VLOOKUP('ESVD - Social Value of Bio'!T13&amp;"2",'ESVD - SUMMARY TABLE'!$E$2:$G$294,3,),0)+IF('Biodiversity Assessment'!$O$104&gt;0,'Biodiversity Assessment'!$O$104*VLOOKUP('ESVD - Social Value of Bio'!T13&amp;"3",'ESVD - SUMMARY TABLE'!$E$2:$G$294,3,),0)+IF('Biodiversity Assessment'!$O$105&gt;0,'Biodiversity Assessment'!$O$105*VLOOKUP('ESVD - Social Value of Bio'!T13&amp;"4",'ESVD - SUMMARY TABLE'!$E$2:$G$294,3,),0),0),IF(S13='ESVD - Land Use &amp; Climate Match'!$A$11,IF(SUM('Biodiversity Assessment'!$AH$102:$AN$105)=SUM('Biodiversity Assessment'!$Z$102:$AF$105),IF('Biodiversity Assessment'!$AH$102&gt;0,'Biodiversity Assessment'!$AH$102*VLOOKUP('ESVD - Social Value of Bio'!T13&amp;"1",'ESVD - SUMMARY TABLE'!$E$2:$G$294,3,FALSE),0)+IF('Biodiversity Assessment'!$AH$103&gt;0,'Biodiversity Assessment'!$AH$103*VLOOKUP('ESVD - Social Value of Bio'!T13&amp;"2",'ESVD - SUMMARY TABLE'!$E$2:$G$294,3,FALSE),0)+IF('Biodiversity Assessment'!$AH$104&gt;0,'Biodiversity Assessment'!$AH$104*VLOOKUP('ESVD - Social Value of Bio'!T13&amp;"3",'ESVD - SUMMARY TABLE'!$E$2:$G$294,3,FALSE),0)+IF('Biodiversity Assessment'!$AH$105&gt;0,'Biodiversity Assessment'!$AH$105*VLOOKUP('ESVD - Social Value of Bio'!T13&amp;"4",'ESVD - SUMMARY TABLE'!$E$2:$G$294,3,FALSE),0),0),IF(S13='ESVD - Land Use &amp; Climate Match'!$A$32,IF(SUM('Biodiversity Assessment'!$BF$102:$BF$106)=SUM('Biodiversity Assessment'!$BD$102:$BD$106),IF('Biodiversity Assessment'!$BF$102&gt;0,'Biodiversity Assessment'!$BF$102*VLOOKUP('ESVD - Social Value of Bio'!T13&amp;"1",'ESVD - SUMMARY TABLE'!$E$2:$G$294,3,FALSE),0)+IF('Biodiversity Assessment'!$BF$103&gt;0,'Biodiversity Assessment'!$BF$103*VLOOKUP('ESVD - Social Value of Bio'!T13&amp;"2",'ESVD - SUMMARY TABLE'!$E$2:$G$294,3,FALSE),0)+IF('Biodiversity Assessment'!$BF$104&gt;0,'Biodiversity Assessment'!$BF$104*VLOOKUP('ESVD - Social Value of Bio'!T13&amp;"3",'ESVD - SUMMARY TABLE'!$E$2:$G$294,3,FALSE),0)+IF('Biodiversity Assessment'!$BF$105&gt;0,'Biodiversity Assessment'!$BF$105*VLOOKUP('ESVD - Social Value of Bio'!T13&amp;"4",'ESVD - SUMMARY TABLE'!$E$2:$G$294,3,FALSE),0)+IF('Biodiversity Assessment'!$BF$106&gt;0,'Biodiversity Assessment'!$BF$106*VLOOKUP('ESVD - Social Value of Bio'!T13&amp;"5",'ESVD - SUMMARY TABLE'!$E$2:$G$294,3,FALSE),0),0),AVERAGE(IF(SUM('Biodiversity Assessment'!$O$102:$P$105)=SUM('Biodiversity Assessment'!$J$102:$M$105),IF('Biodiversity Assessment'!$O$102&gt;0,'Biodiversity Assessment'!$O$102*VLOOKUP(CONCATENATE($B13,$C13,'ESVD - Land Use &amp; Climate Match'!$A$1)&amp;"1",'ESVD - SUMMARY TABLE'!$E$2:$G$294,3,),0)+IF('Biodiversity Assessment'!$O$103&gt;0,'Biodiversity Assessment'!$O$103*VLOOKUP(CONCATENATE($B13,$C13,'ESVD - Land Use &amp; Climate Match'!$A$1)&amp;"2",'ESVD - SUMMARY TABLE'!$E$2:$G$294,3,),0)+IF('Biodiversity Assessment'!$O$104&gt;0,'Biodiversity Assessment'!$O$104*VLOOKUP(CONCATENATE($B13,$C13,'ESVD - Land Use &amp; Climate Match'!$A$1)&amp;"3",'ESVD - SUMMARY TABLE'!$E$2:$G$294,3,),0)+IF('Biodiversity Assessment'!$O$105&gt;0,'Biodiversity Assessment'!$O$105*VLOOKUP(CONCATENATE($B13,$C13,'ESVD - Land Use &amp; Climate Match'!$A$1)&amp;"4",'ESVD - SUMMARY TABLE'!$E$2:$G$294,3,),0),0),IF(SUM('Biodiversity Assessment'!$AH$102:$AN$105)=SUM('Biodiversity Assessment'!$Z$102:$AF$105),IF('Biodiversity Assessment'!$AH$102&gt;0,'Biodiversity Assessment'!$AH$102*VLOOKUP(CONCATENATE($B13,$C13,'ESVD - Land Use &amp; Climate Match'!$A$11)&amp;"1",'ESVD - SUMMARY TABLE'!$E$2:$G$294,3,FALSE),0)+IF('Biodiversity Assessment'!$AH$103&gt;0,'Biodiversity Assessment'!$AH$103*VLOOKUP(CONCATENATE($B13,$C13,'ESVD - Land Use &amp; Climate Match'!$A$11)&amp;"2",'ESVD - SUMMARY TABLE'!$E$2:$G$294,3,FALSE),0)+IF('Biodiversity Assessment'!$AH$104&gt;0,'Biodiversity Assessment'!$AH$104*VLOOKUP(CONCATENATE($B13,$C13,'ESVD - Land Use &amp; Climate Match'!$A$11)&amp;"3",'ESVD - SUMMARY TABLE'!$E$2:$G$294,3,FALSE),0)+IF('Biodiversity Assessment'!$AH$105&gt;0,'Biodiversity Assessment'!$AH$105*VLOOKUP(CONCATENATE($B13,$C13,'ESVD - Land Use &amp; Climate Match'!$A$11)&amp;"4",'ESVD - SUMMARY TABLE'!$E$2:$G$294,3,FALSE),0),0),IF(SUM('Biodiversity Assessment'!$BF$102:$BF$106)=SUM('Biodiversity Assessment'!$BD$102:$BD$106),IF('Biodiversity Assessment'!$BF$102&gt;0,'Biodiversity Assessment'!$BF$102*VLOOKUP(CONCATENATE($B13,$C13,'ESVD - Land Use &amp; Climate Match'!$A$32)&amp;"1",'ESVD - SUMMARY TABLE'!$E$2:$G$294,3,FALSE),0)+IF('Biodiversity Assessment'!$BF$103&gt;0,'Biodiversity Assessment'!$BF$103*VLOOKUP(CONCATENATE($B13,$C13,'ESVD - Land Use &amp; Climate Match'!$A$32)&amp;"2",'ESVD - SUMMARY TABLE'!$E$2:$G$294,3,FALSE),0)+IF('Biodiversity Assessment'!$BF$104&gt;0,'Biodiversity Assessment'!$BF$104*VLOOKUP(CONCATENATE($B13,$C13,'ESVD - Land Use &amp; Climate Match'!$A$32)&amp;"3",'ESVD - SUMMARY TABLE'!$E$2:$G$294,3,FALSE),0)+IF('Biodiversity Assessment'!$BF$105&gt;0,'Biodiversity Assessment'!$BF$105*VLOOKUP(CONCATENATE($B13,$C13,'ESVD - Land Use &amp; Climate Match'!$A$32)&amp;"4",'ESVD - SUMMARY TABLE'!$E$2:$G$294,3,FALSE),0)+IF('Biodiversity Assessment'!$BF$106&gt;0,'Biodiversity Assessment'!$BF$106*VLOOKUP(CONCATENATE($B13,$C13,'ESVD - Land Use &amp; Climate Match'!$A$32)&amp;"5",'ESVD - SUMMARY TABLE'!$E$2:$G$294,3,FALSE),0),0))))),0)</f>
        <v>0</v>
      </c>
      <c r="W13" s="122">
        <f>'Biodiversity Assessment'!CX28</f>
        <v>0</v>
      </c>
      <c r="X13" s="122">
        <f>IFERROR(IF(W13&gt;0,W13*'Biodiversity Assessment'!$U28,IF(V13&gt;0,V13*'Biodiversity Assessment'!$U28,U13*'Biodiversity Assessment'!$U28)),0)</f>
        <v>0</v>
      </c>
      <c r="Y13" s="454"/>
      <c r="Z13" s="123">
        <f>IFERROR(IF(S13='ESVD - Land Use &amp; Climate Match'!$A$1,IF('Biodiversity Assessment'!$J$102&gt;0,'Biodiversity Assessment'!$J$102*VLOOKUP('ESVD - Social Value of Bio'!T13&amp;"1",'ESVD - SUMMARY TABLE'!$E$2:$G$294,3,),0)+IF('Biodiversity Assessment'!$J$103&gt;0,'Biodiversity Assessment'!$J$103*VLOOKUP('ESVD - Social Value of Bio'!T13&amp;"2",'ESVD - SUMMARY TABLE'!$E$2:$G$294,3,),0)+IF('Biodiversity Assessment'!$J$104&gt;0,'Biodiversity Assessment'!$J$104*VLOOKUP('ESVD - Social Value of Bio'!T13&amp;"3",'ESVD - SUMMARY TABLE'!$E$2:$G$294,3,),0)+IF('Biodiversity Assessment'!$J$105&gt;0,'Biodiversity Assessment'!$J$105*VLOOKUP('ESVD - Social Value of Bio'!T13&amp;"4",'ESVD - SUMMARY TABLE'!$E$2:$G$294,3,),0),IF(S13='ESVD - Land Use &amp; Climate Match'!$A$11,IF('Biodiversity Assessment'!$Z$102&gt;0,'Biodiversity Assessment'!$Z$102*VLOOKUP('ESVD - Social Value of Bio'!T13&amp;"1",'ESVD - SUMMARY TABLE'!$E$2:$G$294,3,FALSE),0)+IF('Biodiversity Assessment'!$Z$103&gt;0,'Biodiversity Assessment'!$Z$103*VLOOKUP('ESVD - Social Value of Bio'!T13&amp;"2",'ESVD - SUMMARY TABLE'!$E$2:$G$294,3,FALSE),0)+IF('Biodiversity Assessment'!$Z$104&gt;0,'Biodiversity Assessment'!$Z$104*VLOOKUP('ESVD - Social Value of Bio'!T13&amp;"3",'ESVD - SUMMARY TABLE'!$E$2:$G$294,3,FALSE),0)+IF('Biodiversity Assessment'!$Z$105&gt;0,'Biodiversity Assessment'!$Z$105*VLOOKUP('ESVD - Social Value of Bio'!T13&amp;"4",'ESVD - SUMMARY TABLE'!$E$2:$G$294,3,FALSE),0),IF(S13='ESVD - Land Use &amp; Climate Match'!$A$32,IF('Biodiversity Assessment'!$BD$102&gt;0,'Biodiversity Assessment'!$BD$102*VLOOKUP('ESVD - Social Value of Bio'!T13&amp;"1",'ESVD - SUMMARY TABLE'!$E$2:$G$294,3,FALSE),0)+IF('Biodiversity Assessment'!$BD$103&gt;0,'Biodiversity Assessment'!$BD$103*VLOOKUP('ESVD - Social Value of Bio'!T13&amp;"2",'ESVD - SUMMARY TABLE'!$E$2:$G$294,3,FALSE),0)+IF('Biodiversity Assessment'!$BD$104&gt;0,'Biodiversity Assessment'!$BD$104*VLOOKUP('ESVD - Social Value of Bio'!T13&amp;"3",'ESVD - SUMMARY TABLE'!$E$2:$G$294,3,FALSE),0)+IF('Biodiversity Assessment'!$BD$105&gt;0,'Biodiversity Assessment'!$BD$105*VLOOKUP('ESVD - Social Value of Bio'!T13&amp;"4",'ESVD - SUMMARY TABLE'!$E$2:$G$294,3,FALSE),0)+IF('Biodiversity Assessment'!$BD$106&gt;0,'Biodiversity Assessment'!$BD$106*VLOOKUP('ESVD - Social Value of Bio'!T13&amp;"5",'ESVD - SUMMARY TABLE'!$E$2:$G$294,3,FALSE),0),VLOOKUP('ESVD - Social Value of Bio'!T13&amp;"1",'ESVD - SUMMARY TABLE'!$E$2:$G$294,3,FALSE)))),0)</f>
        <v>0</v>
      </c>
      <c r="AA13" s="123">
        <f>IFERROR(IF(S13='ESVD - Land Use &amp; Climate Match'!$A$1,IF(SUM('Biodiversity Assessment'!$O$102:$P$105)=SUM('Biodiversity Assessment'!$J$102:$M$105),IF('Biodiversity Assessment'!$O$102&gt;0,'Biodiversity Assessment'!$O$102*VLOOKUP('ESVD - Social Value of Bio'!T13&amp;"1",'ESVD - SUMMARY TABLE'!$E$2:$G$294,3,),0)+IF('Biodiversity Assessment'!$O$103&gt;0,'Biodiversity Assessment'!$O$103*VLOOKUP('ESVD - Social Value of Bio'!T13&amp;"2",'ESVD - SUMMARY TABLE'!$E$2:$G$294,3,),0)+IF('Biodiversity Assessment'!$O$104&gt;0,'Biodiversity Assessment'!$O$104*VLOOKUP('ESVD - Social Value of Bio'!T13&amp;"3",'ESVD - SUMMARY TABLE'!$E$2:$G$294,3,),0)+IF('Biodiversity Assessment'!$O$105&gt;0,'Biodiversity Assessment'!$O$105*VLOOKUP('ESVD - Social Value of Bio'!T13&amp;"4",'ESVD - SUMMARY TABLE'!$E$2:$G$294,3,),0),0),IF(S13='ESVD - Land Use &amp; Climate Match'!$A$11,IF(SUM('Biodiversity Assessment'!$AH$102:$AN$105)=SUM('Biodiversity Assessment'!$Z$102:$AF$105),IF('Biodiversity Assessment'!$AH$102&gt;0,'Biodiversity Assessment'!$AH$102*VLOOKUP('ESVD - Social Value of Bio'!T13&amp;"1",'ESVD - SUMMARY TABLE'!$E$2:$G$294,3,FALSE),0)+IF('Biodiversity Assessment'!$AH$103&gt;0,'Biodiversity Assessment'!$AH$103*VLOOKUP('ESVD - Social Value of Bio'!T13&amp;"2",'ESVD - SUMMARY TABLE'!$E$2:$G$294,3,FALSE),0)+IF('Biodiversity Assessment'!$AH$104&gt;0,'Biodiversity Assessment'!$AH$104*VLOOKUP('ESVD - Social Value of Bio'!T13&amp;"3",'ESVD - SUMMARY TABLE'!$E$2:$G$294,3,FALSE),0)+IF('Biodiversity Assessment'!$AH$105&gt;0,'Biodiversity Assessment'!$AH$105*VLOOKUP('ESVD - Social Value of Bio'!T13&amp;"4",'ESVD - SUMMARY TABLE'!$E$2:$G$294,3,FALSE),0),0),IF(S13='ESVD - Land Use &amp; Climate Match'!$A$32,IF(SUM('Biodiversity Assessment'!$BF$102:$BF$106)=SUM('Biodiversity Assessment'!$BD$102:$BD$106),IF('Biodiversity Assessment'!$BF$102&gt;0,'Biodiversity Assessment'!$BF$102*VLOOKUP('ESVD - Social Value of Bio'!T13&amp;"1",'ESVD - SUMMARY TABLE'!$E$2:$G$294,3,FALSE),0)+IF('Biodiversity Assessment'!$BF$103&gt;0,'Biodiversity Assessment'!$BF$103*VLOOKUP('ESVD - Social Value of Bio'!T13&amp;"2",'ESVD - SUMMARY TABLE'!$E$2:$G$294,3,FALSE),0)+IF('Biodiversity Assessment'!$BF$104&gt;0,'Biodiversity Assessment'!$BF$104*VLOOKUP('ESVD - Social Value of Bio'!T13&amp;"3",'ESVD - SUMMARY TABLE'!$E$2:$G$294,3,FALSE),0)+IF('Biodiversity Assessment'!$BF$105&gt;0,'Biodiversity Assessment'!$BF$105*VLOOKUP('ESVD - Social Value of Bio'!T13&amp;"4",'ESVD - SUMMARY TABLE'!$E$2:$G$294,3,FALSE),0)+IF('Biodiversity Assessment'!$BF$106&gt;0,'Biodiversity Assessment'!$BF$106*VLOOKUP('ESVD - Social Value of Bio'!T13&amp;"5",'ESVD - SUMMARY TABLE'!$E$2:$G$294,3,FALSE),0),0),VLOOKUP('ESVD - Social Value of Bio'!T13&amp;"1",'ESVD - SUMMARY TABLE'!$E$2:$G$294,3,FALSE)))),0)</f>
        <v>0</v>
      </c>
      <c r="AB13" s="123">
        <f>'Biodiversity Assessment'!CX28</f>
        <v>0</v>
      </c>
      <c r="AC13" s="124">
        <f>IFERROR(IF(AB13&gt;0,AB13*'Biodiversity Assessment'!U28,IF(AA13&gt;0,AA13*'Biodiversity Assessment'!U28,Z13*'Biodiversity Assessment'!U28)),0)</f>
        <v>0</v>
      </c>
      <c r="AD13" s="456"/>
      <c r="AG13" s="453"/>
    </row>
    <row r="14" spans="1:33" s="110" customFormat="1" ht="10.5" x14ac:dyDescent="0.25">
      <c r="A14" s="107" t="s">
        <v>219</v>
      </c>
      <c r="B14" s="108" t="str">
        <f>IF(Start!$D$28&gt;1000,CONCATENATE(Start!$D$20," Mountain"),Start!$D$20)</f>
        <v>Please select</v>
      </c>
      <c r="C14" s="108" t="str">
        <f>Start!$D$24</f>
        <v>Please select</v>
      </c>
      <c r="D14" s="109" t="str">
        <f>'Biodiversity Assessment'!G29</f>
        <v>Select land use</v>
      </c>
      <c r="E14" s="109" t="str">
        <f>IF(OR(D14=Data!$E$4,D14=Data!$E$5,D14=Data!$E$6,D14=Data!$E$7),Data!$E$4,IF(OR(D14=Data!$E$9,D14=Data!$E$10,D14=Data!$E$11),Data!$E$9,IF(OR(D14=Data!$E$12,D14=Data!$E$13,D14=Data!$E$14),"Cropland",IF(OR(D14=Data!$E$16,D14=Data!$E$17),"Agroforestry",D14))))</f>
        <v>Select land use</v>
      </c>
      <c r="F14" s="109" t="str">
        <f t="shared" si="0"/>
        <v>Please selectPlease selectSelect land use</v>
      </c>
      <c r="G14" s="122">
        <f>IFERROR(IF(E14='ESVD - Land Use &amp; Climate Match'!$A$1,IF('Biodiversity Assessment'!$J$102&gt;0,'Biodiversity Assessment'!$J$102*VLOOKUP('ESVD - Social Value of Bio'!F14&amp;"1",'ESVD - SUMMARY TABLE'!$E$2:$G$294,3,),0)+IF('Biodiversity Assessment'!$J$103&gt;0,'Biodiversity Assessment'!$J$103*VLOOKUP('ESVD - Social Value of Bio'!F14&amp;"2",'ESVD - SUMMARY TABLE'!$E$2:$G$294,3,),0)+IF('Biodiversity Assessment'!$J$104&gt;0,'Biodiversity Assessment'!$J$104*VLOOKUP('ESVD - Social Value of Bio'!F14&amp;"3",'ESVD - SUMMARY TABLE'!$E$2:$G$294,3,),0)+IF('Biodiversity Assessment'!$J$105&gt;0,'Biodiversity Assessment'!$J$105*VLOOKUP('ESVD - Social Value of Bio'!F14&amp;"4",'ESVD - SUMMARY TABLE'!$E$2:$G$294,3,),0),IF(E14='ESVD - Land Use &amp; Climate Match'!$A$11,IF('Biodiversity Assessment'!$Z$102&gt;0,'Biodiversity Assessment'!$Z$102*VLOOKUP('ESVD - Social Value of Bio'!F14&amp;"1",'ESVD - SUMMARY TABLE'!$E$2:$G$294,3,FALSE),0)+IF('Biodiversity Assessment'!$Z$103&gt;0,'Biodiversity Assessment'!$Z$103*VLOOKUP('ESVD - Social Value of Bio'!F14&amp;"2",'ESVD - SUMMARY TABLE'!$E$2:$G$294,3,FALSE),0)+IF('Biodiversity Assessment'!$Z$104&gt;0,'Biodiversity Assessment'!$Z$104*VLOOKUP('ESVD - Social Value of Bio'!F14&amp;"3",'ESVD - SUMMARY TABLE'!$E$2:$G$294,3,FALSE),0)+IF('Biodiversity Assessment'!$Z$105&gt;0,'Biodiversity Assessment'!$Z$105*VLOOKUP('ESVD - Social Value of Bio'!F14&amp;"4",'ESVD - SUMMARY TABLE'!$E$2:$G$294,3,FALSE),0),IF(E14='ESVD - Land Use &amp; Climate Match'!$A$32,IF('Biodiversity Assessment'!$BD$102&gt;0,'Biodiversity Assessment'!$BD$102*VLOOKUP('ESVD - Social Value of Bio'!F14&amp;"1",'ESVD - SUMMARY TABLE'!$E$2:$G$294,3,FALSE),0)+IF('Biodiversity Assessment'!$BD$103&gt;0,'Biodiversity Assessment'!$BD$103*VLOOKUP('ESVD - Social Value of Bio'!F14&amp;"2",'ESVD - SUMMARY TABLE'!$E$2:$G$294,3,FALSE),0)+IF('Biodiversity Assessment'!$BD$104&gt;0,'Biodiversity Assessment'!$BD$104*VLOOKUP('ESVD - Social Value of Bio'!F14&amp;"3",'ESVD - SUMMARY TABLE'!$E$2:$G$294,3,FALSE),0)+IF('Biodiversity Assessment'!$BD$105&gt;0,'Biodiversity Assessment'!$BD$105*VLOOKUP('ESVD - Social Value of Bio'!F14&amp;"4",'ESVD - SUMMARY TABLE'!$E$2:$G$294,3,FALSE),0)+IF('Biodiversity Assessment'!$BD$106&gt;0,'Biodiversity Assessment'!$BD$106*VLOOKUP('ESVD - Social Value of Bio'!F14&amp;"5",'ESVD - SUMMARY TABLE'!$E$2:$G$294,3,FALSE),0),AVERAGE(IF('Biodiversity Assessment'!$J$102&gt;0,'Biodiversity Assessment'!$J$102*VLOOKUP(CONCATENATE($B14,$C14,'ESVD - Land Use &amp; Climate Match'!$A$1)&amp;"1",'ESVD - SUMMARY TABLE'!$E$2:$G$294,3,),0)+IF('Biodiversity Assessment'!$J$103&gt;0,'Biodiversity Assessment'!$J$103*VLOOKUP(CONCATENATE($B14,$C14,'ESVD - Land Use &amp; Climate Match'!$A$1)&amp;"2",'ESVD - SUMMARY TABLE'!$E$2:$G$294,3,),0)+IF('Biodiversity Assessment'!$J$104&gt;0,'Biodiversity Assessment'!$J$104*VLOOKUP(CONCATENATE($B14,$C14,'ESVD - Land Use &amp; Climate Match'!$A$1)&amp;"3",'ESVD - SUMMARY TABLE'!$E$2:$G$294,3,),0)+IF('Biodiversity Assessment'!$J$105&gt;0,'Biodiversity Assessment'!$J$105*VLOOKUP(CONCATENATE($B14,$C14,'ESVD - Land Use &amp; Climate Match'!$A$1)&amp;"4",'ESVD - SUMMARY TABLE'!$E$2:$G$294,3,),0),IF('Biodiversity Assessment'!$Z$102&gt;0,'Biodiversity Assessment'!$Z$102*VLOOKUP(CONCATENATE($B14,$C14,'ESVD - Land Use &amp; Climate Match'!$A$11)&amp;"1",'ESVD - SUMMARY TABLE'!$E$2:$G$294,3,FALSE),0)+IF('Biodiversity Assessment'!$Z$103&gt;0,'Biodiversity Assessment'!$Z$103*VLOOKUP(CONCATENATE($B14,$C14,'ESVD - Land Use &amp; Climate Match'!$A$11)&amp;"2",'ESVD - SUMMARY TABLE'!$E$2:$G$294,3,FALSE),0)+IF('Biodiversity Assessment'!$Z$104&gt;0,'Biodiversity Assessment'!$Z$104*VLOOKUP(CONCATENATE($B14,$C14,'ESVD - Land Use &amp; Climate Match'!$A$11)&amp;"3",'ESVD - SUMMARY TABLE'!$E$2:$G$294,3,FALSE),0)+IF('Biodiversity Assessment'!$Z$105&gt;0,'Biodiversity Assessment'!$Z$105*VLOOKUP(CONCATENATE($B14,$C14,'ESVD - Land Use &amp; Climate Match'!$A$11)&amp;"4",'ESVD - SUMMARY TABLE'!$E$2:$G$294,3,FALSE),0),IF('Biodiversity Assessment'!$BD$102&gt;0,'Biodiversity Assessment'!$BD$102*VLOOKUP(CONCATENATE($B14,$C14,'ESVD - Land Use &amp; Climate Match'!$A$32)&amp;"1",'ESVD - SUMMARY TABLE'!$E$2:$G$294,3,FALSE),0)+IF('Biodiversity Assessment'!$BD$103&gt;0,'Biodiversity Assessment'!$BD$103*VLOOKUP(CONCATENATE($B14,$C14,'ESVD - Land Use &amp; Climate Match'!$A$32)&amp;"2",'ESVD - SUMMARY TABLE'!$E$2:$G$294,3,FALSE),0)+IF('Biodiversity Assessment'!$BD$104&gt;0,'Biodiversity Assessment'!$BD$104*VLOOKUP(CONCATENATE($B14,$C14,'ESVD - Land Use &amp; Climate Match'!$A$32)&amp;"3",'ESVD - SUMMARY TABLE'!$E$2:$G$294,3,FALSE),0)+IF('Biodiversity Assessment'!$BD$105&gt;0,'Biodiversity Assessment'!$BD$105*VLOOKUP(CONCATENATE($B14,$C14,'ESVD - Land Use &amp; Climate Match'!$A$32)&amp;"4",'ESVD - SUMMARY TABLE'!$E$2:$G$294,3,FALSE),0)+IF('Biodiversity Assessment'!$BD$106&gt;0,'Biodiversity Assessment'!$BD$106*VLOOKUP(CONCATENATE($B14,$C14,'ESVD - Land Use &amp; Climate Match'!$A$32)&amp;"5",'ESVD - SUMMARY TABLE'!$E$2:$G$294,3,FALSE)))))),0)</f>
        <v>0</v>
      </c>
      <c r="H14" s="122">
        <f>IFERROR(IF(E14='ESVD - Land Use &amp; Climate Match'!$A$1,IF(SUM('Biodiversity Assessment'!$O$102:$P$105)=SUM('Biodiversity Assessment'!$J$102:$M$105),IF('Biodiversity Assessment'!$O$102&gt;0,'Biodiversity Assessment'!$O$102*VLOOKUP('ESVD - Social Value of Bio'!F14&amp;"1",'ESVD - SUMMARY TABLE'!$E$2:$G$294,3,),0)+IF('Biodiversity Assessment'!$O$103&gt;0,'Biodiversity Assessment'!$O$103*VLOOKUP('ESVD - Social Value of Bio'!F14&amp;"2",'ESVD - SUMMARY TABLE'!$E$2:$G$294,3,),0)+IF('Biodiversity Assessment'!$O$104&gt;0,'Biodiversity Assessment'!$O$104*VLOOKUP('ESVD - Social Value of Bio'!F14&amp;"3",'ESVD - SUMMARY TABLE'!$E$2:$G$294,3,),0)+IF('Biodiversity Assessment'!$O$105&gt;0,'Biodiversity Assessment'!$O$105*VLOOKUP('ESVD - Social Value of Bio'!F14&amp;"4",'ESVD - SUMMARY TABLE'!$E$2:$G$294,3,),0),0),IF(E14='ESVD - Land Use &amp; Climate Match'!$A$11,IF(SUM('Biodiversity Assessment'!$AH$102:$AN$105)=SUM('Biodiversity Assessment'!$Z$102:$AF$105),IF('Biodiversity Assessment'!$AH$102&gt;0,'Biodiversity Assessment'!$AH$102*VLOOKUP('ESVD - Social Value of Bio'!F14&amp;"1",'ESVD - SUMMARY TABLE'!$E$2:$G$294,3,FALSE),0)+IF('Biodiversity Assessment'!$AH$103&gt;0,'Biodiversity Assessment'!$AH$103*VLOOKUP('ESVD - Social Value of Bio'!F14&amp;"2",'ESVD - SUMMARY TABLE'!$E$2:$G$294,3,FALSE),0)+IF('Biodiversity Assessment'!$AH$104&gt;0,'Biodiversity Assessment'!$AH$104*VLOOKUP('ESVD - Social Value of Bio'!F14&amp;"3",'ESVD - SUMMARY TABLE'!$E$2:$G$294,3,FALSE),0)+IF('Biodiversity Assessment'!$AH$105&gt;0,'Biodiversity Assessment'!$AH$105*VLOOKUP('ESVD - Social Value of Bio'!F14&amp;"4",'ESVD - SUMMARY TABLE'!$E$2:$G$294,3,FALSE),0),0),IF(E14='ESVD - Land Use &amp; Climate Match'!$A$32,IF(SUM('Biodiversity Assessment'!$BF$102:$BF$106)=SUM('Biodiversity Assessment'!$BD$102:$BD$106),IF('Biodiversity Assessment'!$BF$102&gt;0,'Biodiversity Assessment'!$BF$102*VLOOKUP('ESVD - Social Value of Bio'!F14&amp;"1",'ESVD - SUMMARY TABLE'!$E$2:$G$294,3,FALSE),0)+IF('Biodiversity Assessment'!$BF$103&gt;0,'Biodiversity Assessment'!$BF$103*VLOOKUP('ESVD - Social Value of Bio'!F14&amp;"2",'ESVD - SUMMARY TABLE'!$E$2:$G$294,3,FALSE),0)+IF('Biodiversity Assessment'!$BF$104&gt;0,'Biodiversity Assessment'!$BF$104*VLOOKUP('ESVD - Social Value of Bio'!F14&amp;"3",'ESVD - SUMMARY TABLE'!$E$2:$G$294,3,FALSE),0)+IF('Biodiversity Assessment'!$BF$105&gt;0,'Biodiversity Assessment'!$BF$105*VLOOKUP('ESVD - Social Value of Bio'!F14&amp;"4",'ESVD - SUMMARY TABLE'!$E$2:$G$294,3,FALSE),0)+IF('Biodiversity Assessment'!$BF$106&gt;0,'Biodiversity Assessment'!$BF$106*VLOOKUP('ESVD - Social Value of Bio'!F14&amp;"5",'ESVD - SUMMARY TABLE'!$E$2:$G$294,3,FALSE),0),0),AVERAGE(IF(SUM('Biodiversity Assessment'!$O$102:$P$105)=SUM('Biodiversity Assessment'!$J$102:$M$105),IF('Biodiversity Assessment'!$O$102&gt;0,'Biodiversity Assessment'!$O$102*VLOOKUP(CONCATENATE($B14,$C14,'ESVD - Land Use &amp; Climate Match'!$A$1)&amp;"1",'ESVD - SUMMARY TABLE'!$E$2:$G$294,3,),0)+IF('Biodiversity Assessment'!$O$103&gt;0,'Biodiversity Assessment'!$O$103*VLOOKUP(CONCATENATE($B14,$C14,'ESVD - Land Use &amp; Climate Match'!$A$1)&amp;"2",'ESVD - SUMMARY TABLE'!$E$2:$G$294,3,),0)+IF('Biodiversity Assessment'!$O$104&gt;0,'Biodiversity Assessment'!$O$104*VLOOKUP(CONCATENATE($B14,$C14,'ESVD - Land Use &amp; Climate Match'!$A$1)&amp;"3",'ESVD - SUMMARY TABLE'!$E$2:$G$294,3,),0)+IF('Biodiversity Assessment'!$O$105&gt;0,'Biodiversity Assessment'!$O$105*VLOOKUP(CONCATENATE($B14,$C14,'ESVD - Land Use &amp; Climate Match'!$A$1)&amp;"4",'ESVD - SUMMARY TABLE'!$E$2:$G$294,3,),0),0),IF(SUM('Biodiversity Assessment'!$AH$102:$AN$105)=SUM('Biodiversity Assessment'!$Z$102:$AF$105),IF('Biodiversity Assessment'!$AH$102&gt;0,'Biodiversity Assessment'!$AH$102*VLOOKUP(CONCATENATE($B14,$C14,'ESVD - Land Use &amp; Climate Match'!$A$11)&amp;"1",'ESVD - SUMMARY TABLE'!$E$2:$G$294,3,FALSE),0)+IF('Biodiversity Assessment'!$AH$103&gt;0,'Biodiversity Assessment'!$AH$103*VLOOKUP(CONCATENATE($B14,$C14,'ESVD - Land Use &amp; Climate Match'!$A$11)&amp;"2",'ESVD - SUMMARY TABLE'!$E$2:$G$294,3,FALSE),0)+IF('Biodiversity Assessment'!$AH$104&gt;0,'Biodiversity Assessment'!$AH$104*VLOOKUP(CONCATENATE($B14,$C14,'ESVD - Land Use &amp; Climate Match'!$A$11)&amp;"3",'ESVD - SUMMARY TABLE'!$E$2:$G$294,3,FALSE),0)+IF('Biodiversity Assessment'!$AH$105&gt;0,'Biodiversity Assessment'!$AH$105*VLOOKUP(CONCATENATE($B14,$C14,'ESVD - Land Use &amp; Climate Match'!$A$11)&amp;"4",'ESVD - SUMMARY TABLE'!$E$2:$G$294,3,FALSE),0),0),IF(SUM('Biodiversity Assessment'!$BF$102:$BF$106)=SUM('Biodiversity Assessment'!$BD$102:$BD$106),IF('Biodiversity Assessment'!$BF$102&gt;0,'Biodiversity Assessment'!$BF$102*VLOOKUP(CONCATENATE($B14,$C14,'ESVD - Land Use &amp; Climate Match'!$A$32)&amp;"1",'ESVD - SUMMARY TABLE'!$E$2:$G$294,3,FALSE),0)+IF('Biodiversity Assessment'!$BF$103&gt;0,'Biodiversity Assessment'!$BF$103*VLOOKUP(CONCATENATE($B14,$C14,'ESVD - Land Use &amp; Climate Match'!$A$32)&amp;"2",'ESVD - SUMMARY TABLE'!$E$2:$G$294,3,FALSE),0)+IF('Biodiversity Assessment'!$BF$104&gt;0,'Biodiversity Assessment'!$BF$104*VLOOKUP(CONCATENATE($B14,$C14,'ESVD - Land Use &amp; Climate Match'!$A$32)&amp;"3",'ESVD - SUMMARY TABLE'!$E$2:$G$294,3,FALSE),0)+IF('Biodiversity Assessment'!$BF$105&gt;0,'Biodiversity Assessment'!$BF$105*VLOOKUP(CONCATENATE($B14,$C14,'ESVD - Land Use &amp; Climate Match'!$A$32)&amp;"4",'ESVD - SUMMARY TABLE'!$E$2:$G$294,3,FALSE),0)+IF('Biodiversity Assessment'!$BF$106&gt;0,'Biodiversity Assessment'!$BF$106*VLOOKUP(CONCATENATE($B14,$C14,'ESVD - Land Use &amp; Climate Match'!$A$32)&amp;"5",'ESVD - SUMMARY TABLE'!$E$2:$G$294,3,FALSE),0),0))))),0)</f>
        <v>0</v>
      </c>
      <c r="I14" s="122">
        <f>'Biodiversity Assessment'!CR29</f>
        <v>0</v>
      </c>
      <c r="J14" s="122">
        <f>IFERROR(IF(I14&gt;0,I14*'Biodiversity Assessment'!$M29,IF(H14&gt;0,H14*'Biodiversity Assessment'!$M29,G14*'Biodiversity Assessment'!$M29)),0)</f>
        <v>0</v>
      </c>
      <c r="K14" s="454"/>
      <c r="L14" s="123">
        <f>IFERROR(IF(E14='ESVD - Land Use &amp; Climate Match'!$A$1,IF('Biodiversity Assessment'!$J$102&gt;0,'Biodiversity Assessment'!$J$102*VLOOKUP('ESVD - Social Value of Bio'!F14&amp;"1",'ESVD - SUMMARY TABLE'!$E$2:$G$294,3,),0)+IF('Biodiversity Assessment'!$J$103&gt;0,'Biodiversity Assessment'!$J$103*VLOOKUP('ESVD - Social Value of Bio'!F14&amp;"2",'ESVD - SUMMARY TABLE'!$E$2:$G$294,3,),0)+IF('Biodiversity Assessment'!$J$104&gt;0,'Biodiversity Assessment'!$J$104*VLOOKUP('ESVD - Social Value of Bio'!F14&amp;"3",'ESVD - SUMMARY TABLE'!$E$2:$G$294,3,),0)+IF('Biodiversity Assessment'!$J$105&gt;0,'Biodiversity Assessment'!$J$105*VLOOKUP('ESVD - Social Value of Bio'!F14&amp;"4",'ESVD - SUMMARY TABLE'!$E$2:$G$294,3,),0),IF(E14='ESVD - Land Use &amp; Climate Match'!$A$11,IF('Biodiversity Assessment'!$Z$102&gt;0,'Biodiversity Assessment'!$Z$102*VLOOKUP('ESVD - Social Value of Bio'!F14&amp;"1",'ESVD - SUMMARY TABLE'!$E$2:$G$294,3,FALSE),0)+IF('Biodiversity Assessment'!$Z$103&gt;0,'Biodiversity Assessment'!$Z$103*VLOOKUP('ESVD - Social Value of Bio'!F14&amp;"2",'ESVD - SUMMARY TABLE'!$E$2:$G$294,3,FALSE),0)+IF('Biodiversity Assessment'!$Z$104&gt;0,'Biodiversity Assessment'!$Z$104*VLOOKUP('ESVD - Social Value of Bio'!F14&amp;"3",'ESVD - SUMMARY TABLE'!$E$2:$G$294,3,FALSE),0)+IF('Biodiversity Assessment'!$Z$105&gt;0,'Biodiversity Assessment'!$Z$105*VLOOKUP('ESVD - Social Value of Bio'!F14&amp;"4",'ESVD - SUMMARY TABLE'!$E$2:$G$294,3,FALSE),0),IF(E14='ESVD - Land Use &amp; Climate Match'!$A$32,IF('Biodiversity Assessment'!$BD$102&gt;0,'Biodiversity Assessment'!$BD$102*VLOOKUP('ESVD - Social Value of Bio'!F14&amp;"1",'ESVD - SUMMARY TABLE'!$E$2:$G$294,3,FALSE),0)+IF('Biodiversity Assessment'!$BD$103&gt;0,'Biodiversity Assessment'!$BD$103*VLOOKUP('ESVD - Social Value of Bio'!F14&amp;"2",'ESVD - SUMMARY TABLE'!$E$2:$G$294,3,FALSE),0)+IF('Biodiversity Assessment'!$BD$104&gt;0,'Biodiversity Assessment'!$BD$104*VLOOKUP('ESVD - Social Value of Bio'!F14&amp;"3",'ESVD - SUMMARY TABLE'!$E$2:$G$294,3,FALSE),0)+IF('Biodiversity Assessment'!$BD$105&gt;0,'Biodiversity Assessment'!$BD$105*VLOOKUP('ESVD - Social Value of Bio'!F14&amp;"4",'ESVD - SUMMARY TABLE'!$E$2:$G$294,3,FALSE),0)+IF('Biodiversity Assessment'!$BD$106&gt;0,'Biodiversity Assessment'!$BD$106*VLOOKUP('ESVD - Social Value of Bio'!F14&amp;"5",'ESVD - SUMMARY TABLE'!$E$2:$G$294,3,FALSE),0),VLOOKUP('ESVD - Social Value of Bio'!F14&amp;"1",'ESVD - SUMMARY TABLE'!$E$2:$G$294,3,FALSE)))),0)</f>
        <v>0</v>
      </c>
      <c r="M14" s="123">
        <f>IFERROR(IF(E14='ESVD - Land Use &amp; Climate Match'!$A$1,IF(SUM('Biodiversity Assessment'!$O$102:$P$105)=SUM('Biodiversity Assessment'!$J$102:$M$105),IF('Biodiversity Assessment'!$O$102&gt;0,'Biodiversity Assessment'!$O$102*VLOOKUP('ESVD - Social Value of Bio'!F14&amp;"1",'ESVD - SUMMARY TABLE'!$E$2:$G$294,3,),0)+IF('Biodiversity Assessment'!$O$103&gt;0,'Biodiversity Assessment'!$O$103*VLOOKUP('ESVD - Social Value of Bio'!F14&amp;"2",'ESVD - SUMMARY TABLE'!$E$2:$G$294,3,),0)+IF('Biodiversity Assessment'!$O$104&gt;0,'Biodiversity Assessment'!$O$104*VLOOKUP('ESVD - Social Value of Bio'!F14&amp;"3",'ESVD - SUMMARY TABLE'!$E$2:$G$294,3,),0)+IF('Biodiversity Assessment'!$O$105&gt;0,'Biodiversity Assessment'!$O$105*VLOOKUP('ESVD - Social Value of Bio'!F14&amp;"4",'ESVD - SUMMARY TABLE'!$E$2:$G$294,3,),0),0),IF(E14='ESVD - Land Use &amp; Climate Match'!$A$11,IF(SUM('Biodiversity Assessment'!$AH$102:$AN$105)=SUM('Biodiversity Assessment'!$Z$102:$AF$105),IF('Biodiversity Assessment'!$AH$102&gt;0,'Biodiversity Assessment'!$AH$102*VLOOKUP('ESVD - Social Value of Bio'!F14&amp;"1",'ESVD - SUMMARY TABLE'!$E$2:$G$294,3,FALSE),0)+IF('Biodiversity Assessment'!$AH$103&gt;0,'Biodiversity Assessment'!$AH$103*VLOOKUP('ESVD - Social Value of Bio'!F14&amp;"2",'ESVD - SUMMARY TABLE'!$E$2:$G$294,3,FALSE),0)+IF('Biodiversity Assessment'!$AH$104&gt;0,'Biodiversity Assessment'!$AH$104*VLOOKUP('ESVD - Social Value of Bio'!F14&amp;"3",'ESVD - SUMMARY TABLE'!$E$2:$G$294,3,FALSE),0)+IF('Biodiversity Assessment'!$AH$105&gt;0,'Biodiversity Assessment'!$AH$105*VLOOKUP('ESVD - Social Value of Bio'!F14&amp;"4",'ESVD - SUMMARY TABLE'!$E$2:$G$294,3,FALSE),0),0),IF(E14='ESVD - Land Use &amp; Climate Match'!$A$32,IF(SUM('Biodiversity Assessment'!$BF$102:$BF$106)=SUM('Biodiversity Assessment'!$BD$102:$BD$106),IF('Biodiversity Assessment'!$BF$102&gt;0,'Biodiversity Assessment'!$BF$102*VLOOKUP('ESVD - Social Value of Bio'!F14&amp;"1",'ESVD - SUMMARY TABLE'!$E$2:$G$294,3,FALSE),0)+IF('Biodiversity Assessment'!$BF$103&gt;0,'Biodiversity Assessment'!$BF$103*VLOOKUP('ESVD - Social Value of Bio'!F14&amp;"2",'ESVD - SUMMARY TABLE'!$E$2:$G$294,3,FALSE),0)+IF('Biodiversity Assessment'!$BF$104&gt;0,'Biodiversity Assessment'!$BF$104*VLOOKUP('ESVD - Social Value of Bio'!F14&amp;"3",'ESVD - SUMMARY TABLE'!$E$2:$G$294,3,FALSE),0)+IF('Biodiversity Assessment'!$BF$105&gt;0,'Biodiversity Assessment'!$BF$105*VLOOKUP('ESVD - Social Value of Bio'!F14&amp;"4",'ESVD - SUMMARY TABLE'!$E$2:$G$294,3,FALSE),0)+IF('Biodiversity Assessment'!$BF$106&gt;0,'Biodiversity Assessment'!$BF$106*VLOOKUP('ESVD - Social Value of Bio'!F14&amp;"5",'ESVD - SUMMARY TABLE'!$E$2:$G$294,3,FALSE),0),0),VLOOKUP('ESVD - Social Value of Bio'!F14&amp;"1",'ESVD - SUMMARY TABLE'!$E$2:$G$294,3,FALSE)))),0)</f>
        <v>0</v>
      </c>
      <c r="N14" s="123">
        <f>'Biodiversity Assessment'!CR29</f>
        <v>0</v>
      </c>
      <c r="O14" s="124">
        <f>IFERROR(IF(N14&gt;0,N14*'Biodiversity Assessment'!M29,IF(M14&gt;0,M14*'Biodiversity Assessment'!M29,L14*'Biodiversity Assessment'!M29)),0)</f>
        <v>0</v>
      </c>
      <c r="P14" s="456"/>
      <c r="R14" s="108" t="str">
        <f>'Biodiversity Assessment'!O29</f>
        <v>Select land use</v>
      </c>
      <c r="S14" s="109" t="str">
        <f>IF(OR(R14=Data!$E$4,R14=Data!$E$5,R14=Data!$E$6,R14=Data!$E$7),Data!$E$4,IF(OR(R14=Data!$E$9,R14=Data!$E$10,R14=Data!$E$11),Data!$E$9,IF(OR(R14=Data!$E$12,R14=Data!$E$13,R14=Data!$E$14),"Cropland",IF(OR(R14=Data!$E$16,R14=Data!$E$17),"Agroforestry",R14))))</f>
        <v>Select land use</v>
      </c>
      <c r="T14" s="109" t="str">
        <f t="shared" si="1"/>
        <v>Please selectPlease selectSelect land use</v>
      </c>
      <c r="U14" s="122">
        <f>IFERROR(IF(S14='ESVD - Land Use &amp; Climate Match'!$A$1,IF('Biodiversity Assessment'!$J$102&gt;0,'Biodiversity Assessment'!$J$102*VLOOKUP('ESVD - Social Value of Bio'!T14&amp;"1",'ESVD - SUMMARY TABLE'!$E$2:$G$294,3,),0)+IF('Biodiversity Assessment'!$J$103&gt;0,'Biodiversity Assessment'!$J$103*VLOOKUP('ESVD - Social Value of Bio'!T14&amp;"2",'ESVD - SUMMARY TABLE'!$E$2:$G$294,3,),0)+IF('Biodiversity Assessment'!$J$104&gt;0,'Biodiversity Assessment'!$J$104*VLOOKUP('ESVD - Social Value of Bio'!T14&amp;"3",'ESVD - SUMMARY TABLE'!$E$2:$G$294,3,),0)+IF('Biodiversity Assessment'!$J$105&gt;0,'Biodiversity Assessment'!$J$105*VLOOKUP('ESVD - Social Value of Bio'!T14&amp;"4",'ESVD - SUMMARY TABLE'!$E$2:$G$294,3,),0),IF(S14='ESVD - Land Use &amp; Climate Match'!$A$11,IF('Biodiversity Assessment'!$Z$102&gt;0,'Biodiversity Assessment'!$Z$102*VLOOKUP('ESVD - Social Value of Bio'!T14&amp;"1",'ESVD - SUMMARY TABLE'!$E$2:$G$294,3,FALSE),0)+IF('Biodiversity Assessment'!$Z$103&gt;0,'Biodiversity Assessment'!$Z$103*VLOOKUP('ESVD - Social Value of Bio'!T14&amp;"2",'ESVD - SUMMARY TABLE'!$E$2:$G$294,3,FALSE),0)+IF('Biodiversity Assessment'!$Z$104&gt;0,'Biodiversity Assessment'!$Z$104*VLOOKUP('ESVD - Social Value of Bio'!T14&amp;"3",'ESVD - SUMMARY TABLE'!$E$2:$G$294,3,FALSE),0)+IF('Biodiversity Assessment'!$Z$105&gt;0,'Biodiversity Assessment'!$Z$105*VLOOKUP('ESVD - Social Value of Bio'!T14&amp;"4",'ESVD - SUMMARY TABLE'!$E$2:$G$294,3,FALSE),0),IF(S14='ESVD - Land Use &amp; Climate Match'!$A$32,IF('Biodiversity Assessment'!$BD$102&gt;0,'Biodiversity Assessment'!$BD$102*VLOOKUP('ESVD - Social Value of Bio'!T14&amp;"1",'ESVD - SUMMARY TABLE'!$E$2:$G$294,3,FALSE),0)+IF('Biodiversity Assessment'!$BD$103&gt;0,'Biodiversity Assessment'!$BD$103*VLOOKUP('ESVD - Social Value of Bio'!T14&amp;"2",'ESVD - SUMMARY TABLE'!$E$2:$G$294,3,FALSE),0)+IF('Biodiversity Assessment'!$BD$104&gt;0,'Biodiversity Assessment'!$BD$104*VLOOKUP('ESVD - Social Value of Bio'!T14&amp;"3",'ESVD - SUMMARY TABLE'!$E$2:$G$294,3,FALSE),0)+IF('Biodiversity Assessment'!$BD$105&gt;0,'Biodiversity Assessment'!$BD$105*VLOOKUP('ESVD - Social Value of Bio'!T14&amp;"4",'ESVD - SUMMARY TABLE'!$E$2:$G$294,3,FALSE),0)+IF('Biodiversity Assessment'!$BD$106&gt;0,'Biodiversity Assessment'!$BD$106*VLOOKUP('ESVD - Social Value of Bio'!T14&amp;"5",'ESVD - SUMMARY TABLE'!$E$2:$G$294,3,FALSE),0),AVERAGE(IF('Biodiversity Assessment'!$J$102&gt;0,'Biodiversity Assessment'!$J$102*VLOOKUP(CONCATENATE(B14,C14,'ESVD - Land Use &amp; Climate Match'!$A$1)&amp;"1",'ESVD - SUMMARY TABLE'!$E$2:$G$294,3,),0)+IF('Biodiversity Assessment'!$J$103&gt;0,'Biodiversity Assessment'!$J$103*VLOOKUP(CONCATENATE(B14,C14,'ESVD - Land Use &amp; Climate Match'!$A$1)&amp;"2",'ESVD - SUMMARY TABLE'!$E$2:$G$294,3,),0)+IF('Biodiversity Assessment'!$J$104&gt;0,'Biodiversity Assessment'!$J$104*VLOOKUP(CONCATENATE(B14,C14,'ESVD - Land Use &amp; Climate Match'!$A$1)&amp;"3",'ESVD - SUMMARY TABLE'!$E$2:$G$294,3,),0)+IF('Biodiversity Assessment'!$J$105&gt;0,'Biodiversity Assessment'!$J$105*VLOOKUP(CONCATENATE(B14,C14,'ESVD - Land Use &amp; Climate Match'!$A$1)&amp;"4",'ESVD - SUMMARY TABLE'!$E$2:$G$294,3,),0),IF('Biodiversity Assessment'!$Z$102&gt;0,'Biodiversity Assessment'!$Z$102*VLOOKUP(CONCATENATE(B14,C14,'ESVD - Land Use &amp; Climate Match'!$A$11)&amp;"1",'ESVD - SUMMARY TABLE'!$E$2:$G$294,3,FALSE),0)+IF('Biodiversity Assessment'!$Z$103&gt;0,'Biodiversity Assessment'!$Z$103*VLOOKUP(CONCATENATE(B14,C14,'ESVD - Land Use &amp; Climate Match'!$A$11)&amp;"2",'ESVD - SUMMARY TABLE'!$E$2:$G$294,3,FALSE),0)+IF('Biodiversity Assessment'!$Z$104&gt;0,'Biodiversity Assessment'!$Z$104*VLOOKUP(CONCATENATE(B14,C14,'ESVD - Land Use &amp; Climate Match'!$A$11)&amp;"3",'ESVD - SUMMARY TABLE'!$E$2:$G$294,3,FALSE),0)+IF('Biodiversity Assessment'!$Z$105&gt;0,'Biodiversity Assessment'!$Z$105*VLOOKUP(CONCATENATE(B14,C14,'ESVD - Land Use &amp; Climate Match'!$A$11)&amp;"4",'ESVD - SUMMARY TABLE'!$E$2:$G$294,3,FALSE),0),IF('Biodiversity Assessment'!$BD$102&gt;0,'Biodiversity Assessment'!$BD$102*VLOOKUP(CONCATENATE(B14,C14,'ESVD - Land Use &amp; Climate Match'!$A$32)&amp;"1",'ESVD - SUMMARY TABLE'!$E$2:$G$294,3,FALSE),0)+IF('Biodiversity Assessment'!$BD$103&gt;0,'Biodiversity Assessment'!$BD$103*VLOOKUP(CONCATENATE(B14,C14,'ESVD - Land Use &amp; Climate Match'!$A$32)&amp;"2",'ESVD - SUMMARY TABLE'!$E$2:$G$294,3,FALSE),0)+IF('Biodiversity Assessment'!$BD$104&gt;0,'Biodiversity Assessment'!$BD$104*VLOOKUP(CONCATENATE(B14,C14,'ESVD - Land Use &amp; Climate Match'!$A$32)&amp;"3",'ESVD - SUMMARY TABLE'!$E$2:$G$294,3,FALSE),0)+IF('Biodiversity Assessment'!$BD$105&gt;0,'Biodiversity Assessment'!$BD$105*VLOOKUP(CONCATENATE(B14,C14,'ESVD - Land Use &amp; Climate Match'!$A$32)&amp;"4",'ESVD - SUMMARY TABLE'!$E$2:$G$294,3,FALSE),0)+IF('Biodiversity Assessment'!$BD$106&gt;0,'Biodiversity Assessment'!$BD$106*VLOOKUP(CONCATENATE(B14,C14,'ESVD - Land Use &amp; Climate Match'!$A$32)&amp;"5",'ESVD - SUMMARY TABLE'!$E$2:$G$294,3,FALSE)))))),0)</f>
        <v>0</v>
      </c>
      <c r="V14" s="122">
        <f>IFERROR(IF(S14='ESVD - Land Use &amp; Climate Match'!$A$1,IF(SUM('Biodiversity Assessment'!$O$102:$P$105)=SUM('Biodiversity Assessment'!$J$102:$M$105),IF('Biodiversity Assessment'!$O$102&gt;0,'Biodiversity Assessment'!$O$102*VLOOKUP('ESVD - Social Value of Bio'!T14&amp;"1",'ESVD - SUMMARY TABLE'!$E$2:$G$294,3,),0)+IF('Biodiversity Assessment'!$O$103&gt;0,'Biodiversity Assessment'!$O$103*VLOOKUP('ESVD - Social Value of Bio'!T14&amp;"2",'ESVD - SUMMARY TABLE'!$E$2:$G$294,3,),0)+IF('Biodiversity Assessment'!$O$104&gt;0,'Biodiversity Assessment'!$O$104*VLOOKUP('ESVD - Social Value of Bio'!T14&amp;"3",'ESVD - SUMMARY TABLE'!$E$2:$G$294,3,),0)+IF('Biodiversity Assessment'!$O$105&gt;0,'Biodiversity Assessment'!$O$105*VLOOKUP('ESVD - Social Value of Bio'!T14&amp;"4",'ESVD - SUMMARY TABLE'!$E$2:$G$294,3,),0),0),IF(S14='ESVD - Land Use &amp; Climate Match'!$A$11,IF(SUM('Biodiversity Assessment'!$AH$102:$AN$105)=SUM('Biodiversity Assessment'!$Z$102:$AF$105),IF('Biodiversity Assessment'!$AH$102&gt;0,'Biodiversity Assessment'!$AH$102*VLOOKUP('ESVD - Social Value of Bio'!T14&amp;"1",'ESVD - SUMMARY TABLE'!$E$2:$G$294,3,FALSE),0)+IF('Biodiversity Assessment'!$AH$103&gt;0,'Biodiversity Assessment'!$AH$103*VLOOKUP('ESVD - Social Value of Bio'!T14&amp;"2",'ESVD - SUMMARY TABLE'!$E$2:$G$294,3,FALSE),0)+IF('Biodiversity Assessment'!$AH$104&gt;0,'Biodiversity Assessment'!$AH$104*VLOOKUP('ESVD - Social Value of Bio'!T14&amp;"3",'ESVD - SUMMARY TABLE'!$E$2:$G$294,3,FALSE),0)+IF('Biodiversity Assessment'!$AH$105&gt;0,'Biodiversity Assessment'!$AH$105*VLOOKUP('ESVD - Social Value of Bio'!T14&amp;"4",'ESVD - SUMMARY TABLE'!$E$2:$G$294,3,FALSE),0),0),IF(S14='ESVD - Land Use &amp; Climate Match'!$A$32,IF(SUM('Biodiversity Assessment'!$BF$102:$BF$106)=SUM('Biodiversity Assessment'!$BD$102:$BD$106),IF('Biodiversity Assessment'!$BF$102&gt;0,'Biodiversity Assessment'!$BF$102*VLOOKUP('ESVD - Social Value of Bio'!T14&amp;"1",'ESVD - SUMMARY TABLE'!$E$2:$G$294,3,FALSE),0)+IF('Biodiversity Assessment'!$BF$103&gt;0,'Biodiversity Assessment'!$BF$103*VLOOKUP('ESVD - Social Value of Bio'!T14&amp;"2",'ESVD - SUMMARY TABLE'!$E$2:$G$294,3,FALSE),0)+IF('Biodiversity Assessment'!$BF$104&gt;0,'Biodiversity Assessment'!$BF$104*VLOOKUP('ESVD - Social Value of Bio'!T14&amp;"3",'ESVD - SUMMARY TABLE'!$E$2:$G$294,3,FALSE),0)+IF('Biodiversity Assessment'!$BF$105&gt;0,'Biodiversity Assessment'!$BF$105*VLOOKUP('ESVD - Social Value of Bio'!T14&amp;"4",'ESVD - SUMMARY TABLE'!$E$2:$G$294,3,FALSE),0)+IF('Biodiversity Assessment'!$BF$106&gt;0,'Biodiversity Assessment'!$BF$106*VLOOKUP('ESVD - Social Value of Bio'!T14&amp;"5",'ESVD - SUMMARY TABLE'!$E$2:$G$294,3,FALSE),0),0),AVERAGE(IF(SUM('Biodiversity Assessment'!$O$102:$P$105)=SUM('Biodiversity Assessment'!$J$102:$M$105),IF('Biodiversity Assessment'!$O$102&gt;0,'Biodiversity Assessment'!$O$102*VLOOKUP(CONCATENATE($B14,$C14,'ESVD - Land Use &amp; Climate Match'!$A$1)&amp;"1",'ESVD - SUMMARY TABLE'!$E$2:$G$294,3,),0)+IF('Biodiversity Assessment'!$O$103&gt;0,'Biodiversity Assessment'!$O$103*VLOOKUP(CONCATENATE($B14,$C14,'ESVD - Land Use &amp; Climate Match'!$A$1)&amp;"2",'ESVD - SUMMARY TABLE'!$E$2:$G$294,3,),0)+IF('Biodiversity Assessment'!$O$104&gt;0,'Biodiversity Assessment'!$O$104*VLOOKUP(CONCATENATE($B14,$C14,'ESVD - Land Use &amp; Climate Match'!$A$1)&amp;"3",'ESVD - SUMMARY TABLE'!$E$2:$G$294,3,),0)+IF('Biodiversity Assessment'!$O$105&gt;0,'Biodiversity Assessment'!$O$105*VLOOKUP(CONCATENATE($B14,$C14,'ESVD - Land Use &amp; Climate Match'!$A$1)&amp;"4",'ESVD - SUMMARY TABLE'!$E$2:$G$294,3,),0),0),IF(SUM('Biodiversity Assessment'!$AH$102:$AN$105)=SUM('Biodiversity Assessment'!$Z$102:$AF$105),IF('Biodiversity Assessment'!$AH$102&gt;0,'Biodiversity Assessment'!$AH$102*VLOOKUP(CONCATENATE($B14,$C14,'ESVD - Land Use &amp; Climate Match'!$A$11)&amp;"1",'ESVD - SUMMARY TABLE'!$E$2:$G$294,3,FALSE),0)+IF('Biodiversity Assessment'!$AH$103&gt;0,'Biodiversity Assessment'!$AH$103*VLOOKUP(CONCATENATE($B14,$C14,'ESVD - Land Use &amp; Climate Match'!$A$11)&amp;"2",'ESVD - SUMMARY TABLE'!$E$2:$G$294,3,FALSE),0)+IF('Biodiversity Assessment'!$AH$104&gt;0,'Biodiversity Assessment'!$AH$104*VLOOKUP(CONCATENATE($B14,$C14,'ESVD - Land Use &amp; Climate Match'!$A$11)&amp;"3",'ESVD - SUMMARY TABLE'!$E$2:$G$294,3,FALSE),0)+IF('Biodiversity Assessment'!$AH$105&gt;0,'Biodiversity Assessment'!$AH$105*VLOOKUP(CONCATENATE($B14,$C14,'ESVD - Land Use &amp; Climate Match'!$A$11)&amp;"4",'ESVD - SUMMARY TABLE'!$E$2:$G$294,3,FALSE),0),0),IF(SUM('Biodiversity Assessment'!$BF$102:$BF$106)=SUM('Biodiversity Assessment'!$BD$102:$BD$106),IF('Biodiversity Assessment'!$BF$102&gt;0,'Biodiversity Assessment'!$BF$102*VLOOKUP(CONCATENATE($B14,$C14,'ESVD - Land Use &amp; Climate Match'!$A$32)&amp;"1",'ESVD - SUMMARY TABLE'!$E$2:$G$294,3,FALSE),0)+IF('Biodiversity Assessment'!$BF$103&gt;0,'Biodiversity Assessment'!$BF$103*VLOOKUP(CONCATENATE($B14,$C14,'ESVD - Land Use &amp; Climate Match'!$A$32)&amp;"2",'ESVD - SUMMARY TABLE'!$E$2:$G$294,3,FALSE),0)+IF('Biodiversity Assessment'!$BF$104&gt;0,'Biodiversity Assessment'!$BF$104*VLOOKUP(CONCATENATE($B14,$C14,'ESVD - Land Use &amp; Climate Match'!$A$32)&amp;"3",'ESVD - SUMMARY TABLE'!$E$2:$G$294,3,FALSE),0)+IF('Biodiversity Assessment'!$BF$105&gt;0,'Biodiversity Assessment'!$BF$105*VLOOKUP(CONCATENATE($B14,$C14,'ESVD - Land Use &amp; Climate Match'!$A$32)&amp;"4",'ESVD - SUMMARY TABLE'!$E$2:$G$294,3,FALSE),0)+IF('Biodiversity Assessment'!$BF$106&gt;0,'Biodiversity Assessment'!$BF$106*VLOOKUP(CONCATENATE($B14,$C14,'ESVD - Land Use &amp; Climate Match'!$A$32)&amp;"5",'ESVD - SUMMARY TABLE'!$E$2:$G$294,3,FALSE),0),0))))),0)</f>
        <v>0</v>
      </c>
      <c r="W14" s="122">
        <f>'Biodiversity Assessment'!CX29</f>
        <v>0</v>
      </c>
      <c r="X14" s="122">
        <f>IFERROR(IF(W14&gt;0,W14*'Biodiversity Assessment'!$U29,IF(V14&gt;0,V14*'Biodiversity Assessment'!$U29,U14*'Biodiversity Assessment'!$U29)),0)</f>
        <v>0</v>
      </c>
      <c r="Y14" s="454"/>
      <c r="Z14" s="123">
        <f>IFERROR(IF(S14='ESVD - Land Use &amp; Climate Match'!$A$1,IF('Biodiversity Assessment'!$J$102&gt;0,'Biodiversity Assessment'!$J$102*VLOOKUP('ESVD - Social Value of Bio'!T14&amp;"1",'ESVD - SUMMARY TABLE'!$E$2:$G$294,3,),0)+IF('Biodiversity Assessment'!$J$103&gt;0,'Biodiversity Assessment'!$J$103*VLOOKUP('ESVD - Social Value of Bio'!T14&amp;"2",'ESVD - SUMMARY TABLE'!$E$2:$G$294,3,),0)+IF('Biodiversity Assessment'!$J$104&gt;0,'Biodiversity Assessment'!$J$104*VLOOKUP('ESVD - Social Value of Bio'!T14&amp;"3",'ESVD - SUMMARY TABLE'!$E$2:$G$294,3,),0)+IF('Biodiversity Assessment'!$J$105&gt;0,'Biodiversity Assessment'!$J$105*VLOOKUP('ESVD - Social Value of Bio'!T14&amp;"4",'ESVD - SUMMARY TABLE'!$E$2:$G$294,3,),0),IF(S14='ESVD - Land Use &amp; Climate Match'!$A$11,IF('Biodiversity Assessment'!$Z$102&gt;0,'Biodiversity Assessment'!$Z$102*VLOOKUP('ESVD - Social Value of Bio'!T14&amp;"1",'ESVD - SUMMARY TABLE'!$E$2:$G$294,3,FALSE),0)+IF('Biodiversity Assessment'!$Z$103&gt;0,'Biodiversity Assessment'!$Z$103*VLOOKUP('ESVD - Social Value of Bio'!T14&amp;"2",'ESVD - SUMMARY TABLE'!$E$2:$G$294,3,FALSE),0)+IF('Biodiversity Assessment'!$Z$104&gt;0,'Biodiversity Assessment'!$Z$104*VLOOKUP('ESVD - Social Value of Bio'!T14&amp;"3",'ESVD - SUMMARY TABLE'!$E$2:$G$294,3,FALSE),0)+IF('Biodiversity Assessment'!$Z$105&gt;0,'Biodiversity Assessment'!$Z$105*VLOOKUP('ESVD - Social Value of Bio'!T14&amp;"4",'ESVD - SUMMARY TABLE'!$E$2:$G$294,3,FALSE),0),IF(S14='ESVD - Land Use &amp; Climate Match'!$A$32,IF('Biodiversity Assessment'!$BD$102&gt;0,'Biodiversity Assessment'!$BD$102*VLOOKUP('ESVD - Social Value of Bio'!T14&amp;"1",'ESVD - SUMMARY TABLE'!$E$2:$G$294,3,FALSE),0)+IF('Biodiversity Assessment'!$BD$103&gt;0,'Biodiversity Assessment'!$BD$103*VLOOKUP('ESVD - Social Value of Bio'!T14&amp;"2",'ESVD - SUMMARY TABLE'!$E$2:$G$294,3,FALSE),0)+IF('Biodiversity Assessment'!$BD$104&gt;0,'Biodiversity Assessment'!$BD$104*VLOOKUP('ESVD - Social Value of Bio'!T14&amp;"3",'ESVD - SUMMARY TABLE'!$E$2:$G$294,3,FALSE),0)+IF('Biodiversity Assessment'!$BD$105&gt;0,'Biodiversity Assessment'!$BD$105*VLOOKUP('ESVD - Social Value of Bio'!T14&amp;"4",'ESVD - SUMMARY TABLE'!$E$2:$G$294,3,FALSE),0)+IF('Biodiversity Assessment'!$BD$106&gt;0,'Biodiversity Assessment'!$BD$106*VLOOKUP('ESVD - Social Value of Bio'!T14&amp;"5",'ESVD - SUMMARY TABLE'!$E$2:$G$294,3,FALSE),0),VLOOKUP('ESVD - Social Value of Bio'!T14&amp;"1",'ESVD - SUMMARY TABLE'!$E$2:$G$294,3,FALSE)))),0)</f>
        <v>0</v>
      </c>
      <c r="AA14" s="123">
        <f>IFERROR(IF(S14='ESVD - Land Use &amp; Climate Match'!$A$1,IF(SUM('Biodiversity Assessment'!$O$102:$P$105)=SUM('Biodiversity Assessment'!$J$102:$M$105),IF('Biodiversity Assessment'!$O$102&gt;0,'Biodiversity Assessment'!$O$102*VLOOKUP('ESVD - Social Value of Bio'!T14&amp;"1",'ESVD - SUMMARY TABLE'!$E$2:$G$294,3,),0)+IF('Biodiversity Assessment'!$O$103&gt;0,'Biodiversity Assessment'!$O$103*VLOOKUP('ESVD - Social Value of Bio'!T14&amp;"2",'ESVD - SUMMARY TABLE'!$E$2:$G$294,3,),0)+IF('Biodiversity Assessment'!$O$104&gt;0,'Biodiversity Assessment'!$O$104*VLOOKUP('ESVD - Social Value of Bio'!T14&amp;"3",'ESVD - SUMMARY TABLE'!$E$2:$G$294,3,),0)+IF('Biodiversity Assessment'!$O$105&gt;0,'Biodiversity Assessment'!$O$105*VLOOKUP('ESVD - Social Value of Bio'!T14&amp;"4",'ESVD - SUMMARY TABLE'!$E$2:$G$294,3,),0),0),IF(S14='ESVD - Land Use &amp; Climate Match'!$A$11,IF(SUM('Biodiversity Assessment'!$AH$102:$AN$105)=SUM('Biodiversity Assessment'!$Z$102:$AF$105),IF('Biodiversity Assessment'!$AH$102&gt;0,'Biodiversity Assessment'!$AH$102*VLOOKUP('ESVD - Social Value of Bio'!T14&amp;"1",'ESVD - SUMMARY TABLE'!$E$2:$G$294,3,FALSE),0)+IF('Biodiversity Assessment'!$AH$103&gt;0,'Biodiversity Assessment'!$AH$103*VLOOKUP('ESVD - Social Value of Bio'!T14&amp;"2",'ESVD - SUMMARY TABLE'!$E$2:$G$294,3,FALSE),0)+IF('Biodiversity Assessment'!$AH$104&gt;0,'Biodiversity Assessment'!$AH$104*VLOOKUP('ESVD - Social Value of Bio'!T14&amp;"3",'ESVD - SUMMARY TABLE'!$E$2:$G$294,3,FALSE),0)+IF('Biodiversity Assessment'!$AH$105&gt;0,'Biodiversity Assessment'!$AH$105*VLOOKUP('ESVD - Social Value of Bio'!T14&amp;"4",'ESVD - SUMMARY TABLE'!$E$2:$G$294,3,FALSE),0),0),IF(S14='ESVD - Land Use &amp; Climate Match'!$A$32,IF(SUM('Biodiversity Assessment'!$BF$102:$BF$106)=SUM('Biodiversity Assessment'!$BD$102:$BD$106),IF('Biodiversity Assessment'!$BF$102&gt;0,'Biodiversity Assessment'!$BF$102*VLOOKUP('ESVD - Social Value of Bio'!T14&amp;"1",'ESVD - SUMMARY TABLE'!$E$2:$G$294,3,FALSE),0)+IF('Biodiversity Assessment'!$BF$103&gt;0,'Biodiversity Assessment'!$BF$103*VLOOKUP('ESVD - Social Value of Bio'!T14&amp;"2",'ESVD - SUMMARY TABLE'!$E$2:$G$294,3,FALSE),0)+IF('Biodiversity Assessment'!$BF$104&gt;0,'Biodiversity Assessment'!$BF$104*VLOOKUP('ESVD - Social Value of Bio'!T14&amp;"3",'ESVD - SUMMARY TABLE'!$E$2:$G$294,3,FALSE),0)+IF('Biodiversity Assessment'!$BF$105&gt;0,'Biodiversity Assessment'!$BF$105*VLOOKUP('ESVD - Social Value of Bio'!T14&amp;"4",'ESVD - SUMMARY TABLE'!$E$2:$G$294,3,FALSE),0)+IF('Biodiversity Assessment'!$BF$106&gt;0,'Biodiversity Assessment'!$BF$106*VLOOKUP('ESVD - Social Value of Bio'!T14&amp;"5",'ESVD - SUMMARY TABLE'!$E$2:$G$294,3,FALSE),0),0),VLOOKUP('ESVD - Social Value of Bio'!T14&amp;"1",'ESVD - SUMMARY TABLE'!$E$2:$G$294,3,FALSE)))),0)</f>
        <v>0</v>
      </c>
      <c r="AB14" s="123">
        <f>'Biodiversity Assessment'!CX29</f>
        <v>0</v>
      </c>
      <c r="AC14" s="124">
        <f>IFERROR(IF(AB14&gt;0,AB14*'Biodiversity Assessment'!U29,IF(AA14&gt;0,AA14*'Biodiversity Assessment'!U29,Z14*'Biodiversity Assessment'!U29)),0)</f>
        <v>0</v>
      </c>
      <c r="AD14" s="456"/>
      <c r="AG14" s="453"/>
    </row>
    <row r="15" spans="1:33" s="110" customFormat="1" ht="10.5" x14ac:dyDescent="0.25">
      <c r="A15" s="107" t="s">
        <v>220</v>
      </c>
      <c r="B15" s="108" t="str">
        <f>IF(Start!$D$28&gt;1000,CONCATENATE(Start!$D$20," Mountain"),Start!$D$20)</f>
        <v>Please select</v>
      </c>
      <c r="C15" s="108" t="str">
        <f>Start!$D$24</f>
        <v>Please select</v>
      </c>
      <c r="D15" s="109" t="str">
        <f>'Biodiversity Assessment'!G30</f>
        <v>Select land use</v>
      </c>
      <c r="E15" s="109" t="str">
        <f>IF(OR(D15=Data!$E$4,D15=Data!$E$5,D15=Data!$E$6,D15=Data!$E$7),Data!$E$4,IF(OR(D15=Data!$E$9,D15=Data!$E$10,D15=Data!$E$11),Data!$E$9,IF(OR(D15=Data!$E$12,D15=Data!$E$13,D15=Data!$E$14),"Cropland",IF(OR(D15=Data!$E$16,D15=Data!$E$17),"Agroforestry",D15))))</f>
        <v>Select land use</v>
      </c>
      <c r="F15" s="109" t="str">
        <f t="shared" si="0"/>
        <v>Please selectPlease selectSelect land use</v>
      </c>
      <c r="G15" s="122">
        <f>IFERROR(IF(E15='ESVD - Land Use &amp; Climate Match'!$A$1,IF('Biodiversity Assessment'!$J$102&gt;0,'Biodiversity Assessment'!$J$102*VLOOKUP('ESVD - Social Value of Bio'!F15&amp;"1",'ESVD - SUMMARY TABLE'!$E$2:$G$294,3,),0)+IF('Biodiversity Assessment'!$J$103&gt;0,'Biodiversity Assessment'!$J$103*VLOOKUP('ESVD - Social Value of Bio'!F15&amp;"2",'ESVD - SUMMARY TABLE'!$E$2:$G$294,3,),0)+IF('Biodiversity Assessment'!$J$104&gt;0,'Biodiversity Assessment'!$J$104*VLOOKUP('ESVD - Social Value of Bio'!F15&amp;"3",'ESVD - SUMMARY TABLE'!$E$2:$G$294,3,),0)+IF('Biodiversity Assessment'!$J$105&gt;0,'Biodiversity Assessment'!$J$105*VLOOKUP('ESVD - Social Value of Bio'!F15&amp;"4",'ESVD - SUMMARY TABLE'!$E$2:$G$294,3,),0),IF(E15='ESVD - Land Use &amp; Climate Match'!$A$11,IF('Biodiversity Assessment'!$Z$102&gt;0,'Biodiversity Assessment'!$Z$102*VLOOKUP('ESVD - Social Value of Bio'!F15&amp;"1",'ESVD - SUMMARY TABLE'!$E$2:$G$294,3,FALSE),0)+IF('Biodiversity Assessment'!$Z$103&gt;0,'Biodiversity Assessment'!$Z$103*VLOOKUP('ESVD - Social Value of Bio'!F15&amp;"2",'ESVD - SUMMARY TABLE'!$E$2:$G$294,3,FALSE),0)+IF('Biodiversity Assessment'!$Z$104&gt;0,'Biodiversity Assessment'!$Z$104*VLOOKUP('ESVD - Social Value of Bio'!F15&amp;"3",'ESVD - SUMMARY TABLE'!$E$2:$G$294,3,FALSE),0)+IF('Biodiversity Assessment'!$Z$105&gt;0,'Biodiversity Assessment'!$Z$105*VLOOKUP('ESVD - Social Value of Bio'!F15&amp;"4",'ESVD - SUMMARY TABLE'!$E$2:$G$294,3,FALSE),0),IF(E15='ESVD - Land Use &amp; Climate Match'!$A$32,IF('Biodiversity Assessment'!$BD$102&gt;0,'Biodiversity Assessment'!$BD$102*VLOOKUP('ESVD - Social Value of Bio'!F15&amp;"1",'ESVD - SUMMARY TABLE'!$E$2:$G$294,3,FALSE),0)+IF('Biodiversity Assessment'!$BD$103&gt;0,'Biodiversity Assessment'!$BD$103*VLOOKUP('ESVD - Social Value of Bio'!F15&amp;"2",'ESVD - SUMMARY TABLE'!$E$2:$G$294,3,FALSE),0)+IF('Biodiversity Assessment'!$BD$104&gt;0,'Biodiversity Assessment'!$BD$104*VLOOKUP('ESVD - Social Value of Bio'!F15&amp;"3",'ESVD - SUMMARY TABLE'!$E$2:$G$294,3,FALSE),0)+IF('Biodiversity Assessment'!$BD$105&gt;0,'Biodiversity Assessment'!$BD$105*VLOOKUP('ESVD - Social Value of Bio'!F15&amp;"4",'ESVD - SUMMARY TABLE'!$E$2:$G$294,3,FALSE),0)+IF('Biodiversity Assessment'!$BD$106&gt;0,'Biodiversity Assessment'!$BD$106*VLOOKUP('ESVD - Social Value of Bio'!F15&amp;"5",'ESVD - SUMMARY TABLE'!$E$2:$G$294,3,FALSE),0),AVERAGE(IF('Biodiversity Assessment'!$J$102&gt;0,'Biodiversity Assessment'!$J$102*VLOOKUP(CONCATENATE($B15,$C15,'ESVD - Land Use &amp; Climate Match'!$A$1)&amp;"1",'ESVD - SUMMARY TABLE'!$E$2:$G$294,3,),0)+IF('Biodiversity Assessment'!$J$103&gt;0,'Biodiversity Assessment'!$J$103*VLOOKUP(CONCATENATE($B15,$C15,'ESVD - Land Use &amp; Climate Match'!$A$1)&amp;"2",'ESVD - SUMMARY TABLE'!$E$2:$G$294,3,),0)+IF('Biodiversity Assessment'!$J$104&gt;0,'Biodiversity Assessment'!$J$104*VLOOKUP(CONCATENATE($B15,$C15,'ESVD - Land Use &amp; Climate Match'!$A$1)&amp;"3",'ESVD - SUMMARY TABLE'!$E$2:$G$294,3,),0)+IF('Biodiversity Assessment'!$J$105&gt;0,'Biodiversity Assessment'!$J$105*VLOOKUP(CONCATENATE($B15,$C15,'ESVD - Land Use &amp; Climate Match'!$A$1)&amp;"4",'ESVD - SUMMARY TABLE'!$E$2:$G$294,3,),0),IF('Biodiversity Assessment'!$Z$102&gt;0,'Biodiversity Assessment'!$Z$102*VLOOKUP(CONCATENATE($B15,$C15,'ESVD - Land Use &amp; Climate Match'!$A$11)&amp;"1",'ESVD - SUMMARY TABLE'!$E$2:$G$294,3,FALSE),0)+IF('Biodiversity Assessment'!$Z$103&gt;0,'Biodiversity Assessment'!$Z$103*VLOOKUP(CONCATENATE($B15,$C15,'ESVD - Land Use &amp; Climate Match'!$A$11)&amp;"2",'ESVD - SUMMARY TABLE'!$E$2:$G$294,3,FALSE),0)+IF('Biodiversity Assessment'!$Z$104&gt;0,'Biodiversity Assessment'!$Z$104*VLOOKUP(CONCATENATE($B15,$C15,'ESVD - Land Use &amp; Climate Match'!$A$11)&amp;"3",'ESVD - SUMMARY TABLE'!$E$2:$G$294,3,FALSE),0)+IF('Biodiversity Assessment'!$Z$105&gt;0,'Biodiversity Assessment'!$Z$105*VLOOKUP(CONCATENATE($B15,$C15,'ESVD - Land Use &amp; Climate Match'!$A$11)&amp;"4",'ESVD - SUMMARY TABLE'!$E$2:$G$294,3,FALSE),0),IF('Biodiversity Assessment'!$BD$102&gt;0,'Biodiversity Assessment'!$BD$102*VLOOKUP(CONCATENATE($B15,$C15,'ESVD - Land Use &amp; Climate Match'!$A$32)&amp;"1",'ESVD - SUMMARY TABLE'!$E$2:$G$294,3,FALSE),0)+IF('Biodiversity Assessment'!$BD$103&gt;0,'Biodiversity Assessment'!$BD$103*VLOOKUP(CONCATENATE($B15,$C15,'ESVD - Land Use &amp; Climate Match'!$A$32)&amp;"2",'ESVD - SUMMARY TABLE'!$E$2:$G$294,3,FALSE),0)+IF('Biodiversity Assessment'!$BD$104&gt;0,'Biodiversity Assessment'!$BD$104*VLOOKUP(CONCATENATE($B15,$C15,'ESVD - Land Use &amp; Climate Match'!$A$32)&amp;"3",'ESVD - SUMMARY TABLE'!$E$2:$G$294,3,FALSE),0)+IF('Biodiversity Assessment'!$BD$105&gt;0,'Biodiversity Assessment'!$BD$105*VLOOKUP(CONCATENATE($B15,$C15,'ESVD - Land Use &amp; Climate Match'!$A$32)&amp;"4",'ESVD - SUMMARY TABLE'!$E$2:$G$294,3,FALSE),0)+IF('Biodiversity Assessment'!$BD$106&gt;0,'Biodiversity Assessment'!$BD$106*VLOOKUP(CONCATENATE($B15,$C15,'ESVD - Land Use &amp; Climate Match'!$A$32)&amp;"5",'ESVD - SUMMARY TABLE'!$E$2:$G$294,3,FALSE)))))),0)</f>
        <v>0</v>
      </c>
      <c r="H15" s="122">
        <f>IFERROR(IF(E15='ESVD - Land Use &amp; Climate Match'!$A$1,IF(SUM('Biodiversity Assessment'!$O$102:$P$105)=SUM('Biodiversity Assessment'!$J$102:$M$105),IF('Biodiversity Assessment'!$O$102&gt;0,'Biodiversity Assessment'!$O$102*VLOOKUP('ESVD - Social Value of Bio'!F15&amp;"1",'ESVD - SUMMARY TABLE'!$E$2:$G$294,3,),0)+IF('Biodiversity Assessment'!$O$103&gt;0,'Biodiversity Assessment'!$O$103*VLOOKUP('ESVD - Social Value of Bio'!F15&amp;"2",'ESVD - SUMMARY TABLE'!$E$2:$G$294,3,),0)+IF('Biodiversity Assessment'!$O$104&gt;0,'Biodiversity Assessment'!$O$104*VLOOKUP('ESVD - Social Value of Bio'!F15&amp;"3",'ESVD - SUMMARY TABLE'!$E$2:$G$294,3,),0)+IF('Biodiversity Assessment'!$O$105&gt;0,'Biodiversity Assessment'!$O$105*VLOOKUP('ESVD - Social Value of Bio'!F15&amp;"4",'ESVD - SUMMARY TABLE'!$E$2:$G$294,3,),0),0),IF(E15='ESVD - Land Use &amp; Climate Match'!$A$11,IF(SUM('Biodiversity Assessment'!$AH$102:$AN$105)=SUM('Biodiversity Assessment'!$Z$102:$AF$105),IF('Biodiversity Assessment'!$AH$102&gt;0,'Biodiversity Assessment'!$AH$102*VLOOKUP('ESVD - Social Value of Bio'!F15&amp;"1",'ESVD - SUMMARY TABLE'!$E$2:$G$294,3,FALSE),0)+IF('Biodiversity Assessment'!$AH$103&gt;0,'Biodiversity Assessment'!$AH$103*VLOOKUP('ESVD - Social Value of Bio'!F15&amp;"2",'ESVD - SUMMARY TABLE'!$E$2:$G$294,3,FALSE),0)+IF('Biodiversity Assessment'!$AH$104&gt;0,'Biodiversity Assessment'!$AH$104*VLOOKUP('ESVD - Social Value of Bio'!F15&amp;"3",'ESVD - SUMMARY TABLE'!$E$2:$G$294,3,FALSE),0)+IF('Biodiversity Assessment'!$AH$105&gt;0,'Biodiversity Assessment'!$AH$105*VLOOKUP('ESVD - Social Value of Bio'!F15&amp;"4",'ESVD - SUMMARY TABLE'!$E$2:$G$294,3,FALSE),0),0),IF(E15='ESVD - Land Use &amp; Climate Match'!$A$32,IF(SUM('Biodiversity Assessment'!$BF$102:$BF$106)=SUM('Biodiversity Assessment'!$BD$102:$BD$106),IF('Biodiversity Assessment'!$BF$102&gt;0,'Biodiversity Assessment'!$BF$102*VLOOKUP('ESVD - Social Value of Bio'!F15&amp;"1",'ESVD - SUMMARY TABLE'!$E$2:$G$294,3,FALSE),0)+IF('Biodiversity Assessment'!$BF$103&gt;0,'Biodiversity Assessment'!$BF$103*VLOOKUP('ESVD - Social Value of Bio'!F15&amp;"2",'ESVD - SUMMARY TABLE'!$E$2:$G$294,3,FALSE),0)+IF('Biodiversity Assessment'!$BF$104&gt;0,'Biodiversity Assessment'!$BF$104*VLOOKUP('ESVD - Social Value of Bio'!F15&amp;"3",'ESVD - SUMMARY TABLE'!$E$2:$G$294,3,FALSE),0)+IF('Biodiversity Assessment'!$BF$105&gt;0,'Biodiversity Assessment'!$BF$105*VLOOKUP('ESVD - Social Value of Bio'!F15&amp;"4",'ESVD - SUMMARY TABLE'!$E$2:$G$294,3,FALSE),0)+IF('Biodiversity Assessment'!$BF$106&gt;0,'Biodiversity Assessment'!$BF$106*VLOOKUP('ESVD - Social Value of Bio'!F15&amp;"5",'ESVD - SUMMARY TABLE'!$E$2:$G$294,3,FALSE),0),0),AVERAGE(IF(SUM('Biodiversity Assessment'!$O$102:$P$105)=SUM('Biodiversity Assessment'!$J$102:$M$105),IF('Biodiversity Assessment'!$O$102&gt;0,'Biodiversity Assessment'!$O$102*VLOOKUP(CONCATENATE($B15,$C15,'ESVD - Land Use &amp; Climate Match'!$A$1)&amp;"1",'ESVD - SUMMARY TABLE'!$E$2:$G$294,3,),0)+IF('Biodiversity Assessment'!$O$103&gt;0,'Biodiversity Assessment'!$O$103*VLOOKUP(CONCATENATE($B15,$C15,'ESVD - Land Use &amp; Climate Match'!$A$1)&amp;"2",'ESVD - SUMMARY TABLE'!$E$2:$G$294,3,),0)+IF('Biodiversity Assessment'!$O$104&gt;0,'Biodiversity Assessment'!$O$104*VLOOKUP(CONCATENATE($B15,$C15,'ESVD - Land Use &amp; Climate Match'!$A$1)&amp;"3",'ESVD - SUMMARY TABLE'!$E$2:$G$294,3,),0)+IF('Biodiversity Assessment'!$O$105&gt;0,'Biodiversity Assessment'!$O$105*VLOOKUP(CONCATENATE($B15,$C15,'ESVD - Land Use &amp; Climate Match'!$A$1)&amp;"4",'ESVD - SUMMARY TABLE'!$E$2:$G$294,3,),0),0),IF(SUM('Biodiversity Assessment'!$AH$102:$AN$105)=SUM('Biodiversity Assessment'!$Z$102:$AF$105),IF('Biodiversity Assessment'!$AH$102&gt;0,'Biodiversity Assessment'!$AH$102*VLOOKUP(CONCATENATE($B15,$C15,'ESVD - Land Use &amp; Climate Match'!$A$11)&amp;"1",'ESVD - SUMMARY TABLE'!$E$2:$G$294,3,FALSE),0)+IF('Biodiversity Assessment'!$AH$103&gt;0,'Biodiversity Assessment'!$AH$103*VLOOKUP(CONCATENATE($B15,$C15,'ESVD - Land Use &amp; Climate Match'!$A$11)&amp;"2",'ESVD - SUMMARY TABLE'!$E$2:$G$294,3,FALSE),0)+IF('Biodiversity Assessment'!$AH$104&gt;0,'Biodiversity Assessment'!$AH$104*VLOOKUP(CONCATENATE($B15,$C15,'ESVD - Land Use &amp; Climate Match'!$A$11)&amp;"3",'ESVD - SUMMARY TABLE'!$E$2:$G$294,3,FALSE),0)+IF('Biodiversity Assessment'!$AH$105&gt;0,'Biodiversity Assessment'!$AH$105*VLOOKUP(CONCATENATE($B15,$C15,'ESVD - Land Use &amp; Climate Match'!$A$11)&amp;"4",'ESVD - SUMMARY TABLE'!$E$2:$G$294,3,FALSE),0),0),IF(SUM('Biodiversity Assessment'!$BF$102:$BF$106)=SUM('Biodiversity Assessment'!$BD$102:$BD$106),IF('Biodiversity Assessment'!$BF$102&gt;0,'Biodiversity Assessment'!$BF$102*VLOOKUP(CONCATENATE($B15,$C15,'ESVD - Land Use &amp; Climate Match'!$A$32)&amp;"1",'ESVD - SUMMARY TABLE'!$E$2:$G$294,3,FALSE),0)+IF('Biodiversity Assessment'!$BF$103&gt;0,'Biodiversity Assessment'!$BF$103*VLOOKUP(CONCATENATE($B15,$C15,'ESVD - Land Use &amp; Climate Match'!$A$32)&amp;"2",'ESVD - SUMMARY TABLE'!$E$2:$G$294,3,FALSE),0)+IF('Biodiversity Assessment'!$BF$104&gt;0,'Biodiversity Assessment'!$BF$104*VLOOKUP(CONCATENATE($B15,$C15,'ESVD - Land Use &amp; Climate Match'!$A$32)&amp;"3",'ESVD - SUMMARY TABLE'!$E$2:$G$294,3,FALSE),0)+IF('Biodiversity Assessment'!$BF$105&gt;0,'Biodiversity Assessment'!$BF$105*VLOOKUP(CONCATENATE($B15,$C15,'ESVD - Land Use &amp; Climate Match'!$A$32)&amp;"4",'ESVD - SUMMARY TABLE'!$E$2:$G$294,3,FALSE),0)+IF('Biodiversity Assessment'!$BF$106&gt;0,'Biodiversity Assessment'!$BF$106*VLOOKUP(CONCATENATE($B15,$C15,'ESVD - Land Use &amp; Climate Match'!$A$32)&amp;"5",'ESVD - SUMMARY TABLE'!$E$2:$G$294,3,FALSE),0),0))))),0)</f>
        <v>0</v>
      </c>
      <c r="I15" s="122">
        <f>'Biodiversity Assessment'!CR30</f>
        <v>0</v>
      </c>
      <c r="J15" s="122">
        <f>IFERROR(IF(I15&gt;0,I15*'Biodiversity Assessment'!$M30,IF(H15&gt;0,H15*'Biodiversity Assessment'!$M30,G15*'Biodiversity Assessment'!$M30)),0)</f>
        <v>0</v>
      </c>
      <c r="K15" s="454"/>
      <c r="L15" s="123">
        <f>IFERROR(IF(E15='ESVD - Land Use &amp; Climate Match'!$A$1,IF('Biodiversity Assessment'!$J$102&gt;0,'Biodiversity Assessment'!$J$102*VLOOKUP('ESVD - Social Value of Bio'!F15&amp;"1",'ESVD - SUMMARY TABLE'!$E$2:$G$294,3,),0)+IF('Biodiversity Assessment'!$J$103&gt;0,'Biodiversity Assessment'!$J$103*VLOOKUP('ESVD - Social Value of Bio'!F15&amp;"2",'ESVD - SUMMARY TABLE'!$E$2:$G$294,3,),0)+IF('Biodiversity Assessment'!$J$104&gt;0,'Biodiversity Assessment'!$J$104*VLOOKUP('ESVD - Social Value of Bio'!F15&amp;"3",'ESVD - SUMMARY TABLE'!$E$2:$G$294,3,),0)+IF('Biodiversity Assessment'!$J$105&gt;0,'Biodiversity Assessment'!$J$105*VLOOKUP('ESVD - Social Value of Bio'!F15&amp;"4",'ESVD - SUMMARY TABLE'!$E$2:$G$294,3,),0),IF(E15='ESVD - Land Use &amp; Climate Match'!$A$11,IF('Biodiversity Assessment'!$Z$102&gt;0,'Biodiversity Assessment'!$Z$102*VLOOKUP('ESVD - Social Value of Bio'!F15&amp;"1",'ESVD - SUMMARY TABLE'!$E$2:$G$294,3,FALSE),0)+IF('Biodiversity Assessment'!$Z$103&gt;0,'Biodiversity Assessment'!$Z$103*VLOOKUP('ESVD - Social Value of Bio'!F15&amp;"2",'ESVD - SUMMARY TABLE'!$E$2:$G$294,3,FALSE),0)+IF('Biodiversity Assessment'!$Z$104&gt;0,'Biodiversity Assessment'!$Z$104*VLOOKUP('ESVD - Social Value of Bio'!F15&amp;"3",'ESVD - SUMMARY TABLE'!$E$2:$G$294,3,FALSE),0)+IF('Biodiversity Assessment'!$Z$105&gt;0,'Biodiversity Assessment'!$Z$105*VLOOKUP('ESVD - Social Value of Bio'!F15&amp;"4",'ESVD - SUMMARY TABLE'!$E$2:$G$294,3,FALSE),0),IF(E15='ESVD - Land Use &amp; Climate Match'!$A$32,IF('Biodiversity Assessment'!$BD$102&gt;0,'Biodiversity Assessment'!$BD$102*VLOOKUP('ESVD - Social Value of Bio'!F15&amp;"1",'ESVD - SUMMARY TABLE'!$E$2:$G$294,3,FALSE),0)+IF('Biodiversity Assessment'!$BD$103&gt;0,'Biodiversity Assessment'!$BD$103*VLOOKUP('ESVD - Social Value of Bio'!F15&amp;"2",'ESVD - SUMMARY TABLE'!$E$2:$G$294,3,FALSE),0)+IF('Biodiversity Assessment'!$BD$104&gt;0,'Biodiversity Assessment'!$BD$104*VLOOKUP('ESVD - Social Value of Bio'!F15&amp;"3",'ESVD - SUMMARY TABLE'!$E$2:$G$294,3,FALSE),0)+IF('Biodiversity Assessment'!$BD$105&gt;0,'Biodiversity Assessment'!$BD$105*VLOOKUP('ESVD - Social Value of Bio'!F15&amp;"4",'ESVD - SUMMARY TABLE'!$E$2:$G$294,3,FALSE),0)+IF('Biodiversity Assessment'!$BD$106&gt;0,'Biodiversity Assessment'!$BD$106*VLOOKUP('ESVD - Social Value of Bio'!F15&amp;"5",'ESVD - SUMMARY TABLE'!$E$2:$G$294,3,FALSE),0),VLOOKUP('ESVD - Social Value of Bio'!F15&amp;"1",'ESVD - SUMMARY TABLE'!$E$2:$G$294,3,FALSE)))),0)</f>
        <v>0</v>
      </c>
      <c r="M15" s="123">
        <f>IFERROR(IF(E15='ESVD - Land Use &amp; Climate Match'!$A$1,IF(SUM('Biodiversity Assessment'!$O$102:$P$105)=SUM('Biodiversity Assessment'!$J$102:$M$105),IF('Biodiversity Assessment'!$O$102&gt;0,'Biodiversity Assessment'!$O$102*VLOOKUP('ESVD - Social Value of Bio'!F15&amp;"1",'ESVD - SUMMARY TABLE'!$E$2:$G$294,3,),0)+IF('Biodiversity Assessment'!$O$103&gt;0,'Biodiversity Assessment'!$O$103*VLOOKUP('ESVD - Social Value of Bio'!F15&amp;"2",'ESVD - SUMMARY TABLE'!$E$2:$G$294,3,),0)+IF('Biodiversity Assessment'!$O$104&gt;0,'Biodiversity Assessment'!$O$104*VLOOKUP('ESVD - Social Value of Bio'!F15&amp;"3",'ESVD - SUMMARY TABLE'!$E$2:$G$294,3,),0)+IF('Biodiversity Assessment'!$O$105&gt;0,'Biodiversity Assessment'!$O$105*VLOOKUP('ESVD - Social Value of Bio'!F15&amp;"4",'ESVD - SUMMARY TABLE'!$E$2:$G$294,3,),0),0),IF(E15='ESVD - Land Use &amp; Climate Match'!$A$11,IF(SUM('Biodiversity Assessment'!$AH$102:$AN$105)=SUM('Biodiversity Assessment'!$Z$102:$AF$105),IF('Biodiversity Assessment'!$AH$102&gt;0,'Biodiversity Assessment'!$AH$102*VLOOKUP('ESVD - Social Value of Bio'!F15&amp;"1",'ESVD - SUMMARY TABLE'!$E$2:$G$294,3,FALSE),0)+IF('Biodiversity Assessment'!$AH$103&gt;0,'Biodiversity Assessment'!$AH$103*VLOOKUP('ESVD - Social Value of Bio'!F15&amp;"2",'ESVD - SUMMARY TABLE'!$E$2:$G$294,3,FALSE),0)+IF('Biodiversity Assessment'!$AH$104&gt;0,'Biodiversity Assessment'!$AH$104*VLOOKUP('ESVD - Social Value of Bio'!F15&amp;"3",'ESVD - SUMMARY TABLE'!$E$2:$G$294,3,FALSE),0)+IF('Biodiversity Assessment'!$AH$105&gt;0,'Biodiversity Assessment'!$AH$105*VLOOKUP('ESVD - Social Value of Bio'!F15&amp;"4",'ESVD - SUMMARY TABLE'!$E$2:$G$294,3,FALSE),0),0),IF(E15='ESVD - Land Use &amp; Climate Match'!$A$32,IF(SUM('Biodiversity Assessment'!$BF$102:$BF$106)=SUM('Biodiversity Assessment'!$BD$102:$BD$106),IF('Biodiversity Assessment'!$BF$102&gt;0,'Biodiversity Assessment'!$BF$102*VLOOKUP('ESVD - Social Value of Bio'!F15&amp;"1",'ESVD - SUMMARY TABLE'!$E$2:$G$294,3,FALSE),0)+IF('Biodiversity Assessment'!$BF$103&gt;0,'Biodiversity Assessment'!$BF$103*VLOOKUP('ESVD - Social Value of Bio'!F15&amp;"2",'ESVD - SUMMARY TABLE'!$E$2:$G$294,3,FALSE),0)+IF('Biodiversity Assessment'!$BF$104&gt;0,'Biodiversity Assessment'!$BF$104*VLOOKUP('ESVD - Social Value of Bio'!F15&amp;"3",'ESVD - SUMMARY TABLE'!$E$2:$G$294,3,FALSE),0)+IF('Biodiversity Assessment'!$BF$105&gt;0,'Biodiversity Assessment'!$BF$105*VLOOKUP('ESVD - Social Value of Bio'!F15&amp;"4",'ESVD - SUMMARY TABLE'!$E$2:$G$294,3,FALSE),0)+IF('Biodiversity Assessment'!$BF$106&gt;0,'Biodiversity Assessment'!$BF$106*VLOOKUP('ESVD - Social Value of Bio'!F15&amp;"5",'ESVD - SUMMARY TABLE'!$E$2:$G$294,3,FALSE),0),0),VLOOKUP('ESVD - Social Value of Bio'!F15&amp;"1",'ESVD - SUMMARY TABLE'!$E$2:$G$294,3,FALSE)))),0)</f>
        <v>0</v>
      </c>
      <c r="N15" s="123">
        <f>'Biodiversity Assessment'!CR30</f>
        <v>0</v>
      </c>
      <c r="O15" s="124">
        <f>IFERROR(IF(N15&gt;0,N15*'Biodiversity Assessment'!M30,IF(M15&gt;0,M15*'Biodiversity Assessment'!M30,L15*'Biodiversity Assessment'!M30)),0)</f>
        <v>0</v>
      </c>
      <c r="P15" s="456"/>
      <c r="R15" s="108" t="str">
        <f>'Biodiversity Assessment'!O30</f>
        <v>Select land use</v>
      </c>
      <c r="S15" s="109" t="str">
        <f>IF(OR(R15=Data!$E$4,R15=Data!$E$5,R15=Data!$E$6,R15=Data!$E$7),Data!$E$4,IF(OR(R15=Data!$E$9,R15=Data!$E$10,R15=Data!$E$11),Data!$E$9,IF(OR(R15=Data!$E$12,R15=Data!$E$13,R15=Data!$E$14),"Cropland",IF(OR(R15=Data!$E$16,R15=Data!$E$17),"Agroforestry",R15))))</f>
        <v>Select land use</v>
      </c>
      <c r="T15" s="109" t="str">
        <f t="shared" si="1"/>
        <v>Please selectPlease selectSelect land use</v>
      </c>
      <c r="U15" s="122">
        <f>IFERROR(IF(S15='ESVD - Land Use &amp; Climate Match'!$A$1,IF('Biodiversity Assessment'!$J$102&gt;0,'Biodiversity Assessment'!$J$102*VLOOKUP('ESVD - Social Value of Bio'!T15&amp;"1",'ESVD - SUMMARY TABLE'!$E$2:$G$294,3,),0)+IF('Biodiversity Assessment'!$J$103&gt;0,'Biodiversity Assessment'!$J$103*VLOOKUP('ESVD - Social Value of Bio'!T15&amp;"2",'ESVD - SUMMARY TABLE'!$E$2:$G$294,3,),0)+IF('Biodiversity Assessment'!$J$104&gt;0,'Biodiversity Assessment'!$J$104*VLOOKUP('ESVD - Social Value of Bio'!T15&amp;"3",'ESVD - SUMMARY TABLE'!$E$2:$G$294,3,),0)+IF('Biodiversity Assessment'!$J$105&gt;0,'Biodiversity Assessment'!$J$105*VLOOKUP('ESVD - Social Value of Bio'!T15&amp;"4",'ESVD - SUMMARY TABLE'!$E$2:$G$294,3,),0),IF(S15='ESVD - Land Use &amp; Climate Match'!$A$11,IF('Biodiversity Assessment'!$Z$102&gt;0,'Biodiversity Assessment'!$Z$102*VLOOKUP('ESVD - Social Value of Bio'!T15&amp;"1",'ESVD - SUMMARY TABLE'!$E$2:$G$294,3,FALSE),0)+IF('Biodiversity Assessment'!$Z$103&gt;0,'Biodiversity Assessment'!$Z$103*VLOOKUP('ESVD - Social Value of Bio'!T15&amp;"2",'ESVD - SUMMARY TABLE'!$E$2:$G$294,3,FALSE),0)+IF('Biodiversity Assessment'!$Z$104&gt;0,'Biodiversity Assessment'!$Z$104*VLOOKUP('ESVD - Social Value of Bio'!T15&amp;"3",'ESVD - SUMMARY TABLE'!$E$2:$G$294,3,FALSE),0)+IF('Biodiversity Assessment'!$Z$105&gt;0,'Biodiversity Assessment'!$Z$105*VLOOKUP('ESVD - Social Value of Bio'!T15&amp;"4",'ESVD - SUMMARY TABLE'!$E$2:$G$294,3,FALSE),0),IF(S15='ESVD - Land Use &amp; Climate Match'!$A$32,IF('Biodiversity Assessment'!$BD$102&gt;0,'Biodiversity Assessment'!$BD$102*VLOOKUP('ESVD - Social Value of Bio'!T15&amp;"1",'ESVD - SUMMARY TABLE'!$E$2:$G$294,3,FALSE),0)+IF('Biodiversity Assessment'!$BD$103&gt;0,'Biodiversity Assessment'!$BD$103*VLOOKUP('ESVD - Social Value of Bio'!T15&amp;"2",'ESVD - SUMMARY TABLE'!$E$2:$G$294,3,FALSE),0)+IF('Biodiversity Assessment'!$BD$104&gt;0,'Biodiversity Assessment'!$BD$104*VLOOKUP('ESVD - Social Value of Bio'!T15&amp;"3",'ESVD - SUMMARY TABLE'!$E$2:$G$294,3,FALSE),0)+IF('Biodiversity Assessment'!$BD$105&gt;0,'Biodiversity Assessment'!$BD$105*VLOOKUP('ESVD - Social Value of Bio'!T15&amp;"4",'ESVD - SUMMARY TABLE'!$E$2:$G$294,3,FALSE),0)+IF('Biodiversity Assessment'!$BD$106&gt;0,'Biodiversity Assessment'!$BD$106*VLOOKUP('ESVD - Social Value of Bio'!T15&amp;"5",'ESVD - SUMMARY TABLE'!$E$2:$G$294,3,FALSE),0),AVERAGE(IF('Biodiversity Assessment'!$J$102&gt;0,'Biodiversity Assessment'!$J$102*VLOOKUP(CONCATENATE(B15,C15,'ESVD - Land Use &amp; Climate Match'!$A$1)&amp;"1",'ESVD - SUMMARY TABLE'!$E$2:$G$294,3,),0)+IF('Biodiversity Assessment'!$J$103&gt;0,'Biodiversity Assessment'!$J$103*VLOOKUP(CONCATENATE(B15,C15,'ESVD - Land Use &amp; Climate Match'!$A$1)&amp;"2",'ESVD - SUMMARY TABLE'!$E$2:$G$294,3,),0)+IF('Biodiversity Assessment'!$J$104&gt;0,'Biodiversity Assessment'!$J$104*VLOOKUP(CONCATENATE(B15,C15,'ESVD - Land Use &amp; Climate Match'!$A$1)&amp;"3",'ESVD - SUMMARY TABLE'!$E$2:$G$294,3,),0)+IF('Biodiversity Assessment'!$J$105&gt;0,'Biodiversity Assessment'!$J$105*VLOOKUP(CONCATENATE(B15,C15,'ESVD - Land Use &amp; Climate Match'!$A$1)&amp;"4",'ESVD - SUMMARY TABLE'!$E$2:$G$294,3,),0),IF('Biodiversity Assessment'!$Z$102&gt;0,'Biodiversity Assessment'!$Z$102*VLOOKUP(CONCATENATE(B15,C15,'ESVD - Land Use &amp; Climate Match'!$A$11)&amp;"1",'ESVD - SUMMARY TABLE'!$E$2:$G$294,3,FALSE),0)+IF('Biodiversity Assessment'!$Z$103&gt;0,'Biodiversity Assessment'!$Z$103*VLOOKUP(CONCATENATE(B15,C15,'ESVD - Land Use &amp; Climate Match'!$A$11)&amp;"2",'ESVD - SUMMARY TABLE'!$E$2:$G$294,3,FALSE),0)+IF('Biodiversity Assessment'!$Z$104&gt;0,'Biodiversity Assessment'!$Z$104*VLOOKUP(CONCATENATE(B15,C15,'ESVD - Land Use &amp; Climate Match'!$A$11)&amp;"3",'ESVD - SUMMARY TABLE'!$E$2:$G$294,3,FALSE),0)+IF('Biodiversity Assessment'!$Z$105&gt;0,'Biodiversity Assessment'!$Z$105*VLOOKUP(CONCATENATE(B15,C15,'ESVD - Land Use &amp; Climate Match'!$A$11)&amp;"4",'ESVD - SUMMARY TABLE'!$E$2:$G$294,3,FALSE),0),IF('Biodiversity Assessment'!$BD$102&gt;0,'Biodiversity Assessment'!$BD$102*VLOOKUP(CONCATENATE(B15,C15,'ESVD - Land Use &amp; Climate Match'!$A$32)&amp;"1",'ESVD - SUMMARY TABLE'!$E$2:$G$294,3,FALSE),0)+IF('Biodiversity Assessment'!$BD$103&gt;0,'Biodiversity Assessment'!$BD$103*VLOOKUP(CONCATENATE(B15,C15,'ESVD - Land Use &amp; Climate Match'!$A$32)&amp;"2",'ESVD - SUMMARY TABLE'!$E$2:$G$294,3,FALSE),0)+IF('Biodiversity Assessment'!$BD$104&gt;0,'Biodiversity Assessment'!$BD$104*VLOOKUP(CONCATENATE(B15,C15,'ESVD - Land Use &amp; Climate Match'!$A$32)&amp;"3",'ESVD - SUMMARY TABLE'!$E$2:$G$294,3,FALSE),0)+IF('Biodiversity Assessment'!$BD$105&gt;0,'Biodiversity Assessment'!$BD$105*VLOOKUP(CONCATENATE(B15,C15,'ESVD - Land Use &amp; Climate Match'!$A$32)&amp;"4",'ESVD - SUMMARY TABLE'!$E$2:$G$294,3,FALSE),0)+IF('Biodiversity Assessment'!$BD$106&gt;0,'Biodiversity Assessment'!$BD$106*VLOOKUP(CONCATENATE(B15,C15,'ESVD - Land Use &amp; Climate Match'!$A$32)&amp;"5",'ESVD - SUMMARY TABLE'!$E$2:$G$294,3,FALSE)))))),0)</f>
        <v>0</v>
      </c>
      <c r="V15" s="122">
        <f>IFERROR(IF(S15='ESVD - Land Use &amp; Climate Match'!$A$1,IF(SUM('Biodiversity Assessment'!$O$102:$P$105)=SUM('Biodiversity Assessment'!$J$102:$M$105),IF('Biodiversity Assessment'!$O$102&gt;0,'Biodiversity Assessment'!$O$102*VLOOKUP('ESVD - Social Value of Bio'!T15&amp;"1",'ESVD - SUMMARY TABLE'!$E$2:$G$294,3,),0)+IF('Biodiversity Assessment'!$O$103&gt;0,'Biodiversity Assessment'!$O$103*VLOOKUP('ESVD - Social Value of Bio'!T15&amp;"2",'ESVD - SUMMARY TABLE'!$E$2:$G$294,3,),0)+IF('Biodiversity Assessment'!$O$104&gt;0,'Biodiversity Assessment'!$O$104*VLOOKUP('ESVD - Social Value of Bio'!T15&amp;"3",'ESVD - SUMMARY TABLE'!$E$2:$G$294,3,),0)+IF('Biodiversity Assessment'!$O$105&gt;0,'Biodiversity Assessment'!$O$105*VLOOKUP('ESVD - Social Value of Bio'!T15&amp;"4",'ESVD - SUMMARY TABLE'!$E$2:$G$294,3,),0),0),IF(S15='ESVD - Land Use &amp; Climate Match'!$A$11,IF(SUM('Biodiversity Assessment'!$AH$102:$AN$105)=SUM('Biodiversity Assessment'!$Z$102:$AF$105),IF('Biodiversity Assessment'!$AH$102&gt;0,'Biodiversity Assessment'!$AH$102*VLOOKUP('ESVD - Social Value of Bio'!T15&amp;"1",'ESVD - SUMMARY TABLE'!$E$2:$G$294,3,FALSE),0)+IF('Biodiversity Assessment'!$AH$103&gt;0,'Biodiversity Assessment'!$AH$103*VLOOKUP('ESVD - Social Value of Bio'!T15&amp;"2",'ESVD - SUMMARY TABLE'!$E$2:$G$294,3,FALSE),0)+IF('Biodiversity Assessment'!$AH$104&gt;0,'Biodiversity Assessment'!$AH$104*VLOOKUP('ESVD - Social Value of Bio'!T15&amp;"3",'ESVD - SUMMARY TABLE'!$E$2:$G$294,3,FALSE),0)+IF('Biodiversity Assessment'!$AH$105&gt;0,'Biodiversity Assessment'!$AH$105*VLOOKUP('ESVD - Social Value of Bio'!T15&amp;"4",'ESVD - SUMMARY TABLE'!$E$2:$G$294,3,FALSE),0),0),IF(S15='ESVD - Land Use &amp; Climate Match'!$A$32,IF(SUM('Biodiversity Assessment'!$BF$102:$BF$106)=SUM('Biodiversity Assessment'!$BD$102:$BD$106),IF('Biodiversity Assessment'!$BF$102&gt;0,'Biodiversity Assessment'!$BF$102*VLOOKUP('ESVD - Social Value of Bio'!T15&amp;"1",'ESVD - SUMMARY TABLE'!$E$2:$G$294,3,FALSE),0)+IF('Biodiversity Assessment'!$BF$103&gt;0,'Biodiversity Assessment'!$BF$103*VLOOKUP('ESVD - Social Value of Bio'!T15&amp;"2",'ESVD - SUMMARY TABLE'!$E$2:$G$294,3,FALSE),0)+IF('Biodiversity Assessment'!$BF$104&gt;0,'Biodiversity Assessment'!$BF$104*VLOOKUP('ESVD - Social Value of Bio'!T15&amp;"3",'ESVD - SUMMARY TABLE'!$E$2:$G$294,3,FALSE),0)+IF('Biodiversity Assessment'!$BF$105&gt;0,'Biodiversity Assessment'!$BF$105*VLOOKUP('ESVD - Social Value of Bio'!T15&amp;"4",'ESVD - SUMMARY TABLE'!$E$2:$G$294,3,FALSE),0)+IF('Biodiversity Assessment'!$BF$106&gt;0,'Biodiversity Assessment'!$BF$106*VLOOKUP('ESVD - Social Value of Bio'!T15&amp;"5",'ESVD - SUMMARY TABLE'!$E$2:$G$294,3,FALSE),0),0),AVERAGE(IF(SUM('Biodiversity Assessment'!$O$102:$P$105)=SUM('Biodiversity Assessment'!$J$102:$M$105),IF('Biodiversity Assessment'!$O$102&gt;0,'Biodiversity Assessment'!$O$102*VLOOKUP(CONCATENATE($B15,$C15,'ESVD - Land Use &amp; Climate Match'!$A$1)&amp;"1",'ESVD - SUMMARY TABLE'!$E$2:$G$294,3,),0)+IF('Biodiversity Assessment'!$O$103&gt;0,'Biodiversity Assessment'!$O$103*VLOOKUP(CONCATENATE($B15,$C15,'ESVD - Land Use &amp; Climate Match'!$A$1)&amp;"2",'ESVD - SUMMARY TABLE'!$E$2:$G$294,3,),0)+IF('Biodiversity Assessment'!$O$104&gt;0,'Biodiversity Assessment'!$O$104*VLOOKUP(CONCATENATE($B15,$C15,'ESVD - Land Use &amp; Climate Match'!$A$1)&amp;"3",'ESVD - SUMMARY TABLE'!$E$2:$G$294,3,),0)+IF('Biodiversity Assessment'!$O$105&gt;0,'Biodiversity Assessment'!$O$105*VLOOKUP(CONCATENATE($B15,$C15,'ESVD - Land Use &amp; Climate Match'!$A$1)&amp;"4",'ESVD - SUMMARY TABLE'!$E$2:$G$294,3,),0),0),IF(SUM('Biodiversity Assessment'!$AH$102:$AN$105)=SUM('Biodiversity Assessment'!$Z$102:$AF$105),IF('Biodiversity Assessment'!$AH$102&gt;0,'Biodiversity Assessment'!$AH$102*VLOOKUP(CONCATENATE($B15,$C15,'ESVD - Land Use &amp; Climate Match'!$A$11)&amp;"1",'ESVD - SUMMARY TABLE'!$E$2:$G$294,3,FALSE),0)+IF('Biodiversity Assessment'!$AH$103&gt;0,'Biodiversity Assessment'!$AH$103*VLOOKUP(CONCATENATE($B15,$C15,'ESVD - Land Use &amp; Climate Match'!$A$11)&amp;"2",'ESVD - SUMMARY TABLE'!$E$2:$G$294,3,FALSE),0)+IF('Biodiversity Assessment'!$AH$104&gt;0,'Biodiversity Assessment'!$AH$104*VLOOKUP(CONCATENATE($B15,$C15,'ESVD - Land Use &amp; Climate Match'!$A$11)&amp;"3",'ESVD - SUMMARY TABLE'!$E$2:$G$294,3,FALSE),0)+IF('Biodiversity Assessment'!$AH$105&gt;0,'Biodiversity Assessment'!$AH$105*VLOOKUP(CONCATENATE($B15,$C15,'ESVD - Land Use &amp; Climate Match'!$A$11)&amp;"4",'ESVD - SUMMARY TABLE'!$E$2:$G$294,3,FALSE),0),0),IF(SUM('Biodiversity Assessment'!$BF$102:$BF$106)=SUM('Biodiversity Assessment'!$BD$102:$BD$106),IF('Biodiversity Assessment'!$BF$102&gt;0,'Biodiversity Assessment'!$BF$102*VLOOKUP(CONCATENATE($B15,$C15,'ESVD - Land Use &amp; Climate Match'!$A$32)&amp;"1",'ESVD - SUMMARY TABLE'!$E$2:$G$294,3,FALSE),0)+IF('Biodiversity Assessment'!$BF$103&gt;0,'Biodiversity Assessment'!$BF$103*VLOOKUP(CONCATENATE($B15,$C15,'ESVD - Land Use &amp; Climate Match'!$A$32)&amp;"2",'ESVD - SUMMARY TABLE'!$E$2:$G$294,3,FALSE),0)+IF('Biodiversity Assessment'!$BF$104&gt;0,'Biodiversity Assessment'!$BF$104*VLOOKUP(CONCATENATE($B15,$C15,'ESVD - Land Use &amp; Climate Match'!$A$32)&amp;"3",'ESVD - SUMMARY TABLE'!$E$2:$G$294,3,FALSE),0)+IF('Biodiversity Assessment'!$BF$105&gt;0,'Biodiversity Assessment'!$BF$105*VLOOKUP(CONCATENATE($B15,$C15,'ESVD - Land Use &amp; Climate Match'!$A$32)&amp;"4",'ESVD - SUMMARY TABLE'!$E$2:$G$294,3,FALSE),0)+IF('Biodiversity Assessment'!$BF$106&gt;0,'Biodiversity Assessment'!$BF$106*VLOOKUP(CONCATENATE($B15,$C15,'ESVD - Land Use &amp; Climate Match'!$A$32)&amp;"5",'ESVD - SUMMARY TABLE'!$E$2:$G$294,3,FALSE),0),0))))),0)</f>
        <v>0</v>
      </c>
      <c r="W15" s="122">
        <f>'Biodiversity Assessment'!CX30</f>
        <v>0</v>
      </c>
      <c r="X15" s="122">
        <f>IFERROR(IF(W15&gt;0,W15*'Biodiversity Assessment'!$U30,IF(V15&gt;0,V15*'Biodiversity Assessment'!$U30,U15*'Biodiversity Assessment'!$U30)),0)</f>
        <v>0</v>
      </c>
      <c r="Y15" s="454"/>
      <c r="Z15" s="123">
        <f>IFERROR(IF(S15='ESVD - Land Use &amp; Climate Match'!$A$1,IF('Biodiversity Assessment'!$J$102&gt;0,'Biodiversity Assessment'!$J$102*VLOOKUP('ESVD - Social Value of Bio'!T15&amp;"1",'ESVD - SUMMARY TABLE'!$E$2:$G$294,3,),0)+IF('Biodiversity Assessment'!$J$103&gt;0,'Biodiversity Assessment'!$J$103*VLOOKUP('ESVD - Social Value of Bio'!T15&amp;"2",'ESVD - SUMMARY TABLE'!$E$2:$G$294,3,),0)+IF('Biodiversity Assessment'!$J$104&gt;0,'Biodiversity Assessment'!$J$104*VLOOKUP('ESVD - Social Value of Bio'!T15&amp;"3",'ESVD - SUMMARY TABLE'!$E$2:$G$294,3,),0)+IF('Biodiversity Assessment'!$J$105&gt;0,'Biodiversity Assessment'!$J$105*VLOOKUP('ESVD - Social Value of Bio'!T15&amp;"4",'ESVD - SUMMARY TABLE'!$E$2:$G$294,3,),0),IF(S15='ESVD - Land Use &amp; Climate Match'!$A$11,IF('Biodiversity Assessment'!$Z$102&gt;0,'Biodiversity Assessment'!$Z$102*VLOOKUP('ESVD - Social Value of Bio'!T15&amp;"1",'ESVD - SUMMARY TABLE'!$E$2:$G$294,3,FALSE),0)+IF('Biodiversity Assessment'!$Z$103&gt;0,'Biodiversity Assessment'!$Z$103*VLOOKUP('ESVD - Social Value of Bio'!T15&amp;"2",'ESVD - SUMMARY TABLE'!$E$2:$G$294,3,FALSE),0)+IF('Biodiversity Assessment'!$Z$104&gt;0,'Biodiversity Assessment'!$Z$104*VLOOKUP('ESVD - Social Value of Bio'!T15&amp;"3",'ESVD - SUMMARY TABLE'!$E$2:$G$294,3,FALSE),0)+IF('Biodiversity Assessment'!$Z$105&gt;0,'Biodiversity Assessment'!$Z$105*VLOOKUP('ESVD - Social Value of Bio'!T15&amp;"4",'ESVD - SUMMARY TABLE'!$E$2:$G$294,3,FALSE),0),IF(S15='ESVD - Land Use &amp; Climate Match'!$A$32,IF('Biodiversity Assessment'!$BD$102&gt;0,'Biodiversity Assessment'!$BD$102*VLOOKUP('ESVD - Social Value of Bio'!T15&amp;"1",'ESVD - SUMMARY TABLE'!$E$2:$G$294,3,FALSE),0)+IF('Biodiversity Assessment'!$BD$103&gt;0,'Biodiversity Assessment'!$BD$103*VLOOKUP('ESVD - Social Value of Bio'!T15&amp;"2",'ESVD - SUMMARY TABLE'!$E$2:$G$294,3,FALSE),0)+IF('Biodiversity Assessment'!$BD$104&gt;0,'Biodiversity Assessment'!$BD$104*VLOOKUP('ESVD - Social Value of Bio'!T15&amp;"3",'ESVD - SUMMARY TABLE'!$E$2:$G$294,3,FALSE),0)+IF('Biodiversity Assessment'!$BD$105&gt;0,'Biodiversity Assessment'!$BD$105*VLOOKUP('ESVD - Social Value of Bio'!T15&amp;"4",'ESVD - SUMMARY TABLE'!$E$2:$G$294,3,FALSE),0)+IF('Biodiversity Assessment'!$BD$106&gt;0,'Biodiversity Assessment'!$BD$106*VLOOKUP('ESVD - Social Value of Bio'!T15&amp;"5",'ESVD - SUMMARY TABLE'!$E$2:$G$294,3,FALSE),0),VLOOKUP('ESVD - Social Value of Bio'!T15&amp;"1",'ESVD - SUMMARY TABLE'!$E$2:$G$294,3,FALSE)))),0)</f>
        <v>0</v>
      </c>
      <c r="AA15" s="123">
        <f>IFERROR(IF(S15='ESVD - Land Use &amp; Climate Match'!$A$1,IF(SUM('Biodiversity Assessment'!$O$102:$P$105)=SUM('Biodiversity Assessment'!$J$102:$M$105),IF('Biodiversity Assessment'!$O$102&gt;0,'Biodiversity Assessment'!$O$102*VLOOKUP('ESVD - Social Value of Bio'!T15&amp;"1",'ESVD - SUMMARY TABLE'!$E$2:$G$294,3,),0)+IF('Biodiversity Assessment'!$O$103&gt;0,'Biodiversity Assessment'!$O$103*VLOOKUP('ESVD - Social Value of Bio'!T15&amp;"2",'ESVD - SUMMARY TABLE'!$E$2:$G$294,3,),0)+IF('Biodiversity Assessment'!$O$104&gt;0,'Biodiversity Assessment'!$O$104*VLOOKUP('ESVD - Social Value of Bio'!T15&amp;"3",'ESVD - SUMMARY TABLE'!$E$2:$G$294,3,),0)+IF('Biodiversity Assessment'!$O$105&gt;0,'Biodiversity Assessment'!$O$105*VLOOKUP('ESVD - Social Value of Bio'!T15&amp;"4",'ESVD - SUMMARY TABLE'!$E$2:$G$294,3,),0),0),IF(S15='ESVD - Land Use &amp; Climate Match'!$A$11,IF(SUM('Biodiversity Assessment'!$AH$102:$AN$105)=SUM('Biodiversity Assessment'!$Z$102:$AF$105),IF('Biodiversity Assessment'!$AH$102&gt;0,'Biodiversity Assessment'!$AH$102*VLOOKUP('ESVD - Social Value of Bio'!T15&amp;"1",'ESVD - SUMMARY TABLE'!$E$2:$G$294,3,FALSE),0)+IF('Biodiversity Assessment'!$AH$103&gt;0,'Biodiversity Assessment'!$AH$103*VLOOKUP('ESVD - Social Value of Bio'!T15&amp;"2",'ESVD - SUMMARY TABLE'!$E$2:$G$294,3,FALSE),0)+IF('Biodiversity Assessment'!$AH$104&gt;0,'Biodiversity Assessment'!$AH$104*VLOOKUP('ESVD - Social Value of Bio'!T15&amp;"3",'ESVD - SUMMARY TABLE'!$E$2:$G$294,3,FALSE),0)+IF('Biodiversity Assessment'!$AH$105&gt;0,'Biodiversity Assessment'!$AH$105*VLOOKUP('ESVD - Social Value of Bio'!T15&amp;"4",'ESVD - SUMMARY TABLE'!$E$2:$G$294,3,FALSE),0),0),IF(S15='ESVD - Land Use &amp; Climate Match'!$A$32,IF(SUM('Biodiversity Assessment'!$BF$102:$BF$106)=SUM('Biodiversity Assessment'!$BD$102:$BD$106),IF('Biodiversity Assessment'!$BF$102&gt;0,'Biodiversity Assessment'!$BF$102*VLOOKUP('ESVD - Social Value of Bio'!T15&amp;"1",'ESVD - SUMMARY TABLE'!$E$2:$G$294,3,FALSE),0)+IF('Biodiversity Assessment'!$BF$103&gt;0,'Biodiversity Assessment'!$BF$103*VLOOKUP('ESVD - Social Value of Bio'!T15&amp;"2",'ESVD - SUMMARY TABLE'!$E$2:$G$294,3,FALSE),0)+IF('Biodiversity Assessment'!$BF$104&gt;0,'Biodiversity Assessment'!$BF$104*VLOOKUP('ESVD - Social Value of Bio'!T15&amp;"3",'ESVD - SUMMARY TABLE'!$E$2:$G$294,3,FALSE),0)+IF('Biodiversity Assessment'!$BF$105&gt;0,'Biodiversity Assessment'!$BF$105*VLOOKUP('ESVD - Social Value of Bio'!T15&amp;"4",'ESVD - SUMMARY TABLE'!$E$2:$G$294,3,FALSE),0)+IF('Biodiversity Assessment'!$BF$106&gt;0,'Biodiversity Assessment'!$BF$106*VLOOKUP('ESVD - Social Value of Bio'!T15&amp;"5",'ESVD - SUMMARY TABLE'!$E$2:$G$294,3,FALSE),0),0),VLOOKUP('ESVD - Social Value of Bio'!T15&amp;"1",'ESVD - SUMMARY TABLE'!$E$2:$G$294,3,FALSE)))),0)</f>
        <v>0</v>
      </c>
      <c r="AB15" s="123">
        <f>'Biodiversity Assessment'!CX30</f>
        <v>0</v>
      </c>
      <c r="AC15" s="124">
        <f>IFERROR(IF(AB15&gt;0,AB15*'Biodiversity Assessment'!U30,IF(AA15&gt;0,AA15*'Biodiversity Assessment'!U30,Z15*'Biodiversity Assessment'!U30)),0)</f>
        <v>0</v>
      </c>
      <c r="AD15" s="456"/>
      <c r="AG15" s="453"/>
    </row>
    <row r="16" spans="1:33" s="110" customFormat="1" ht="10.5" x14ac:dyDescent="0.25">
      <c r="A16" s="107" t="s">
        <v>221</v>
      </c>
      <c r="B16" s="108" t="str">
        <f>IF(Start!$D$28&gt;1000,CONCATENATE(Start!$D$20," Mountain"),Start!$D$20)</f>
        <v>Please select</v>
      </c>
      <c r="C16" s="108" t="str">
        <f>Start!$D$24</f>
        <v>Please select</v>
      </c>
      <c r="D16" s="109" t="str">
        <f>'Biodiversity Assessment'!G31</f>
        <v>Select land use</v>
      </c>
      <c r="E16" s="109" t="str">
        <f>IF(OR(D16=Data!$E$4,D16=Data!$E$5,D16=Data!$E$6,D16=Data!$E$7),Data!$E$4,IF(OR(D16=Data!$E$9,D16=Data!$E$10,D16=Data!$E$11),Data!$E$9,IF(OR(D16=Data!$E$12,D16=Data!$E$13,D16=Data!$E$14),"Cropland",IF(OR(D16=Data!$E$16,D16=Data!$E$17),"Agroforestry",D16))))</f>
        <v>Select land use</v>
      </c>
      <c r="F16" s="109" t="str">
        <f t="shared" si="0"/>
        <v>Please selectPlease selectSelect land use</v>
      </c>
      <c r="G16" s="122">
        <f>IFERROR(IF(E16='ESVD - Land Use &amp; Climate Match'!$A$1,IF('Biodiversity Assessment'!$J$102&gt;0,'Biodiversity Assessment'!$J$102*VLOOKUP('ESVD - Social Value of Bio'!F16&amp;"1",'ESVD - SUMMARY TABLE'!$E$2:$G$294,3,),0)+IF('Biodiversity Assessment'!$J$103&gt;0,'Biodiversity Assessment'!$J$103*VLOOKUP('ESVD - Social Value of Bio'!F16&amp;"2",'ESVD - SUMMARY TABLE'!$E$2:$G$294,3,),0)+IF('Biodiversity Assessment'!$J$104&gt;0,'Biodiversity Assessment'!$J$104*VLOOKUP('ESVD - Social Value of Bio'!F16&amp;"3",'ESVD - SUMMARY TABLE'!$E$2:$G$294,3,),0)+IF('Biodiversity Assessment'!$J$105&gt;0,'Biodiversity Assessment'!$J$105*VLOOKUP('ESVD - Social Value of Bio'!F16&amp;"4",'ESVD - SUMMARY TABLE'!$E$2:$G$294,3,),0),IF(E16='ESVD - Land Use &amp; Climate Match'!$A$11,IF('Biodiversity Assessment'!$Z$102&gt;0,'Biodiversity Assessment'!$Z$102*VLOOKUP('ESVD - Social Value of Bio'!F16&amp;"1",'ESVD - SUMMARY TABLE'!$E$2:$G$294,3,FALSE),0)+IF('Biodiversity Assessment'!$Z$103&gt;0,'Biodiversity Assessment'!$Z$103*VLOOKUP('ESVD - Social Value of Bio'!F16&amp;"2",'ESVD - SUMMARY TABLE'!$E$2:$G$294,3,FALSE),0)+IF('Biodiversity Assessment'!$Z$104&gt;0,'Biodiversity Assessment'!$Z$104*VLOOKUP('ESVD - Social Value of Bio'!F16&amp;"3",'ESVD - SUMMARY TABLE'!$E$2:$G$294,3,FALSE),0)+IF('Biodiversity Assessment'!$Z$105&gt;0,'Biodiversity Assessment'!$Z$105*VLOOKUP('ESVD - Social Value of Bio'!F16&amp;"4",'ESVD - SUMMARY TABLE'!$E$2:$G$294,3,FALSE),0),IF(E16='ESVD - Land Use &amp; Climate Match'!$A$32,IF('Biodiversity Assessment'!$BD$102&gt;0,'Biodiversity Assessment'!$BD$102*VLOOKUP('ESVD - Social Value of Bio'!F16&amp;"1",'ESVD - SUMMARY TABLE'!$E$2:$G$294,3,FALSE),0)+IF('Biodiversity Assessment'!$BD$103&gt;0,'Biodiversity Assessment'!$BD$103*VLOOKUP('ESVD - Social Value of Bio'!F16&amp;"2",'ESVD - SUMMARY TABLE'!$E$2:$G$294,3,FALSE),0)+IF('Biodiversity Assessment'!$BD$104&gt;0,'Biodiversity Assessment'!$BD$104*VLOOKUP('ESVD - Social Value of Bio'!F16&amp;"3",'ESVD - SUMMARY TABLE'!$E$2:$G$294,3,FALSE),0)+IF('Biodiversity Assessment'!$BD$105&gt;0,'Biodiversity Assessment'!$BD$105*VLOOKUP('ESVD - Social Value of Bio'!F16&amp;"4",'ESVD - SUMMARY TABLE'!$E$2:$G$294,3,FALSE),0)+IF('Biodiversity Assessment'!$BD$106&gt;0,'Biodiversity Assessment'!$BD$106*VLOOKUP('ESVD - Social Value of Bio'!F16&amp;"5",'ESVD - SUMMARY TABLE'!$E$2:$G$294,3,FALSE),0),AVERAGE(IF('Biodiversity Assessment'!$J$102&gt;0,'Biodiversity Assessment'!$J$102*VLOOKUP(CONCATENATE($B16,$C16,'ESVD - Land Use &amp; Climate Match'!$A$1)&amp;"1",'ESVD - SUMMARY TABLE'!$E$2:$G$294,3,),0)+IF('Biodiversity Assessment'!$J$103&gt;0,'Biodiversity Assessment'!$J$103*VLOOKUP(CONCATENATE($B16,$C16,'ESVD - Land Use &amp; Climate Match'!$A$1)&amp;"2",'ESVD - SUMMARY TABLE'!$E$2:$G$294,3,),0)+IF('Biodiversity Assessment'!$J$104&gt;0,'Biodiversity Assessment'!$J$104*VLOOKUP(CONCATENATE($B16,$C16,'ESVD - Land Use &amp; Climate Match'!$A$1)&amp;"3",'ESVD - SUMMARY TABLE'!$E$2:$G$294,3,),0)+IF('Biodiversity Assessment'!$J$105&gt;0,'Biodiversity Assessment'!$J$105*VLOOKUP(CONCATENATE($B16,$C16,'ESVD - Land Use &amp; Climate Match'!$A$1)&amp;"4",'ESVD - SUMMARY TABLE'!$E$2:$G$294,3,),0),IF('Biodiversity Assessment'!$Z$102&gt;0,'Biodiversity Assessment'!$Z$102*VLOOKUP(CONCATENATE($B16,$C16,'ESVD - Land Use &amp; Climate Match'!$A$11)&amp;"1",'ESVD - SUMMARY TABLE'!$E$2:$G$294,3,FALSE),0)+IF('Biodiversity Assessment'!$Z$103&gt;0,'Biodiversity Assessment'!$Z$103*VLOOKUP(CONCATENATE($B16,$C16,'ESVD - Land Use &amp; Climate Match'!$A$11)&amp;"2",'ESVD - SUMMARY TABLE'!$E$2:$G$294,3,FALSE),0)+IF('Biodiversity Assessment'!$Z$104&gt;0,'Biodiversity Assessment'!$Z$104*VLOOKUP(CONCATENATE($B16,$C16,'ESVD - Land Use &amp; Climate Match'!$A$11)&amp;"3",'ESVD - SUMMARY TABLE'!$E$2:$G$294,3,FALSE),0)+IF('Biodiversity Assessment'!$Z$105&gt;0,'Biodiversity Assessment'!$Z$105*VLOOKUP(CONCATENATE($B16,$C16,'ESVD - Land Use &amp; Climate Match'!$A$11)&amp;"4",'ESVD - SUMMARY TABLE'!$E$2:$G$294,3,FALSE),0),IF('Biodiversity Assessment'!$BD$102&gt;0,'Biodiversity Assessment'!$BD$102*VLOOKUP(CONCATENATE($B16,$C16,'ESVD - Land Use &amp; Climate Match'!$A$32)&amp;"1",'ESVD - SUMMARY TABLE'!$E$2:$G$294,3,FALSE),0)+IF('Biodiversity Assessment'!$BD$103&gt;0,'Biodiversity Assessment'!$BD$103*VLOOKUP(CONCATENATE($B16,$C16,'ESVD - Land Use &amp; Climate Match'!$A$32)&amp;"2",'ESVD - SUMMARY TABLE'!$E$2:$G$294,3,FALSE),0)+IF('Biodiversity Assessment'!$BD$104&gt;0,'Biodiversity Assessment'!$BD$104*VLOOKUP(CONCATENATE($B16,$C16,'ESVD - Land Use &amp; Climate Match'!$A$32)&amp;"3",'ESVD - SUMMARY TABLE'!$E$2:$G$294,3,FALSE),0)+IF('Biodiversity Assessment'!$BD$105&gt;0,'Biodiversity Assessment'!$BD$105*VLOOKUP(CONCATENATE($B16,$C16,'ESVD - Land Use &amp; Climate Match'!$A$32)&amp;"4",'ESVD - SUMMARY TABLE'!$E$2:$G$294,3,FALSE),0)+IF('Biodiversity Assessment'!$BD$106&gt;0,'Biodiversity Assessment'!$BD$106*VLOOKUP(CONCATENATE($B16,$C16,'ESVD - Land Use &amp; Climate Match'!$A$32)&amp;"5",'ESVD - SUMMARY TABLE'!$E$2:$G$294,3,FALSE)))))),0)</f>
        <v>0</v>
      </c>
      <c r="H16" s="122">
        <f>IFERROR(IF(E16='ESVD - Land Use &amp; Climate Match'!$A$1,IF(SUM('Biodiversity Assessment'!$O$102:$P$105)=SUM('Biodiversity Assessment'!$J$102:$M$105),IF('Biodiversity Assessment'!$O$102&gt;0,'Biodiversity Assessment'!$O$102*VLOOKUP('ESVD - Social Value of Bio'!F16&amp;"1",'ESVD - SUMMARY TABLE'!$E$2:$G$294,3,),0)+IF('Biodiversity Assessment'!$O$103&gt;0,'Biodiversity Assessment'!$O$103*VLOOKUP('ESVD - Social Value of Bio'!F16&amp;"2",'ESVD - SUMMARY TABLE'!$E$2:$G$294,3,),0)+IF('Biodiversity Assessment'!$O$104&gt;0,'Biodiversity Assessment'!$O$104*VLOOKUP('ESVD - Social Value of Bio'!F16&amp;"3",'ESVD - SUMMARY TABLE'!$E$2:$G$294,3,),0)+IF('Biodiversity Assessment'!$O$105&gt;0,'Biodiversity Assessment'!$O$105*VLOOKUP('ESVD - Social Value of Bio'!F16&amp;"4",'ESVD - SUMMARY TABLE'!$E$2:$G$294,3,),0),0),IF(E16='ESVD - Land Use &amp; Climate Match'!$A$11,IF(SUM('Biodiversity Assessment'!$AH$102:$AN$105)=SUM('Biodiversity Assessment'!$Z$102:$AF$105),IF('Biodiversity Assessment'!$AH$102&gt;0,'Biodiversity Assessment'!$AH$102*VLOOKUP('ESVD - Social Value of Bio'!F16&amp;"1",'ESVD - SUMMARY TABLE'!$E$2:$G$294,3,FALSE),0)+IF('Biodiversity Assessment'!$AH$103&gt;0,'Biodiversity Assessment'!$AH$103*VLOOKUP('ESVD - Social Value of Bio'!F16&amp;"2",'ESVD - SUMMARY TABLE'!$E$2:$G$294,3,FALSE),0)+IF('Biodiversity Assessment'!$AH$104&gt;0,'Biodiversity Assessment'!$AH$104*VLOOKUP('ESVD - Social Value of Bio'!F16&amp;"3",'ESVD - SUMMARY TABLE'!$E$2:$G$294,3,FALSE),0)+IF('Biodiversity Assessment'!$AH$105&gt;0,'Biodiversity Assessment'!$AH$105*VLOOKUP('ESVD - Social Value of Bio'!F16&amp;"4",'ESVD - SUMMARY TABLE'!$E$2:$G$294,3,FALSE),0),0),IF(E16='ESVD - Land Use &amp; Climate Match'!$A$32,IF(SUM('Biodiversity Assessment'!$BF$102:$BF$106)=SUM('Biodiversity Assessment'!$BD$102:$BD$106),IF('Biodiversity Assessment'!$BF$102&gt;0,'Biodiversity Assessment'!$BF$102*VLOOKUP('ESVD - Social Value of Bio'!F16&amp;"1",'ESVD - SUMMARY TABLE'!$E$2:$G$294,3,FALSE),0)+IF('Biodiversity Assessment'!$BF$103&gt;0,'Biodiversity Assessment'!$BF$103*VLOOKUP('ESVD - Social Value of Bio'!F16&amp;"2",'ESVD - SUMMARY TABLE'!$E$2:$G$294,3,FALSE),0)+IF('Biodiversity Assessment'!$BF$104&gt;0,'Biodiversity Assessment'!$BF$104*VLOOKUP('ESVD - Social Value of Bio'!F16&amp;"3",'ESVD - SUMMARY TABLE'!$E$2:$G$294,3,FALSE),0)+IF('Biodiversity Assessment'!$BF$105&gt;0,'Biodiversity Assessment'!$BF$105*VLOOKUP('ESVD - Social Value of Bio'!F16&amp;"4",'ESVD - SUMMARY TABLE'!$E$2:$G$294,3,FALSE),0)+IF('Biodiversity Assessment'!$BF$106&gt;0,'Biodiversity Assessment'!$BF$106*VLOOKUP('ESVD - Social Value of Bio'!F16&amp;"5",'ESVD - SUMMARY TABLE'!$E$2:$G$294,3,FALSE),0),0),AVERAGE(IF(SUM('Biodiversity Assessment'!$O$102:$P$105)=SUM('Biodiversity Assessment'!$J$102:$M$105),IF('Biodiversity Assessment'!$O$102&gt;0,'Biodiversity Assessment'!$O$102*VLOOKUP(CONCATENATE($B16,$C16,'ESVD - Land Use &amp; Climate Match'!$A$1)&amp;"1",'ESVD - SUMMARY TABLE'!$E$2:$G$294,3,),0)+IF('Biodiversity Assessment'!$O$103&gt;0,'Biodiversity Assessment'!$O$103*VLOOKUP(CONCATENATE($B16,$C16,'ESVD - Land Use &amp; Climate Match'!$A$1)&amp;"2",'ESVD - SUMMARY TABLE'!$E$2:$G$294,3,),0)+IF('Biodiversity Assessment'!$O$104&gt;0,'Biodiversity Assessment'!$O$104*VLOOKUP(CONCATENATE($B16,$C16,'ESVD - Land Use &amp; Climate Match'!$A$1)&amp;"3",'ESVD - SUMMARY TABLE'!$E$2:$G$294,3,),0)+IF('Biodiversity Assessment'!$O$105&gt;0,'Biodiversity Assessment'!$O$105*VLOOKUP(CONCATENATE($B16,$C16,'ESVD - Land Use &amp; Climate Match'!$A$1)&amp;"4",'ESVD - SUMMARY TABLE'!$E$2:$G$294,3,),0),0),IF(SUM('Biodiversity Assessment'!$AH$102:$AN$105)=SUM('Biodiversity Assessment'!$Z$102:$AF$105),IF('Biodiversity Assessment'!$AH$102&gt;0,'Biodiversity Assessment'!$AH$102*VLOOKUP(CONCATENATE($B16,$C16,'ESVD - Land Use &amp; Climate Match'!$A$11)&amp;"1",'ESVD - SUMMARY TABLE'!$E$2:$G$294,3,FALSE),0)+IF('Biodiversity Assessment'!$AH$103&gt;0,'Biodiversity Assessment'!$AH$103*VLOOKUP(CONCATENATE($B16,$C16,'ESVD - Land Use &amp; Climate Match'!$A$11)&amp;"2",'ESVD - SUMMARY TABLE'!$E$2:$G$294,3,FALSE),0)+IF('Biodiversity Assessment'!$AH$104&gt;0,'Biodiversity Assessment'!$AH$104*VLOOKUP(CONCATENATE($B16,$C16,'ESVD - Land Use &amp; Climate Match'!$A$11)&amp;"3",'ESVD - SUMMARY TABLE'!$E$2:$G$294,3,FALSE),0)+IF('Biodiversity Assessment'!$AH$105&gt;0,'Biodiversity Assessment'!$AH$105*VLOOKUP(CONCATENATE($B16,$C16,'ESVD - Land Use &amp; Climate Match'!$A$11)&amp;"4",'ESVD - SUMMARY TABLE'!$E$2:$G$294,3,FALSE),0),0),IF(SUM('Biodiversity Assessment'!$BF$102:$BF$106)=SUM('Biodiversity Assessment'!$BD$102:$BD$106),IF('Biodiversity Assessment'!$BF$102&gt;0,'Biodiversity Assessment'!$BF$102*VLOOKUP(CONCATENATE($B16,$C16,'ESVD - Land Use &amp; Climate Match'!$A$32)&amp;"1",'ESVD - SUMMARY TABLE'!$E$2:$G$294,3,FALSE),0)+IF('Biodiversity Assessment'!$BF$103&gt;0,'Biodiversity Assessment'!$BF$103*VLOOKUP(CONCATENATE($B16,$C16,'ESVD - Land Use &amp; Climate Match'!$A$32)&amp;"2",'ESVD - SUMMARY TABLE'!$E$2:$G$294,3,FALSE),0)+IF('Biodiversity Assessment'!$BF$104&gt;0,'Biodiversity Assessment'!$BF$104*VLOOKUP(CONCATENATE($B16,$C16,'ESVD - Land Use &amp; Climate Match'!$A$32)&amp;"3",'ESVD - SUMMARY TABLE'!$E$2:$G$294,3,FALSE),0)+IF('Biodiversity Assessment'!$BF$105&gt;0,'Biodiversity Assessment'!$BF$105*VLOOKUP(CONCATENATE($B16,$C16,'ESVD - Land Use &amp; Climate Match'!$A$32)&amp;"4",'ESVD - SUMMARY TABLE'!$E$2:$G$294,3,FALSE),0)+IF('Biodiversity Assessment'!$BF$106&gt;0,'Biodiversity Assessment'!$BF$106*VLOOKUP(CONCATENATE($B16,$C16,'ESVD - Land Use &amp; Climate Match'!$A$32)&amp;"5",'ESVD - SUMMARY TABLE'!$E$2:$G$294,3,FALSE),0),0))))),0)</f>
        <v>0</v>
      </c>
      <c r="I16" s="122">
        <f>'Biodiversity Assessment'!CR31</f>
        <v>0</v>
      </c>
      <c r="J16" s="122">
        <f>IFERROR(IF(I16&gt;0,I16*'Biodiversity Assessment'!$M31,IF(H16&gt;0,H16*'Biodiversity Assessment'!$M31,G16*'Biodiversity Assessment'!$M31)),0)</f>
        <v>0</v>
      </c>
      <c r="K16" s="454"/>
      <c r="L16" s="123">
        <f>IFERROR(IF(E16='ESVD - Land Use &amp; Climate Match'!$A$1,IF('Biodiversity Assessment'!$J$102&gt;0,'Biodiversity Assessment'!$J$102*VLOOKUP('ESVD - Social Value of Bio'!F16&amp;"1",'ESVD - SUMMARY TABLE'!$E$2:$G$294,3,),0)+IF('Biodiversity Assessment'!$J$103&gt;0,'Biodiversity Assessment'!$J$103*VLOOKUP('ESVD - Social Value of Bio'!F16&amp;"2",'ESVD - SUMMARY TABLE'!$E$2:$G$294,3,),0)+IF('Biodiversity Assessment'!$J$104&gt;0,'Biodiversity Assessment'!$J$104*VLOOKUP('ESVD - Social Value of Bio'!F16&amp;"3",'ESVD - SUMMARY TABLE'!$E$2:$G$294,3,),0)+IF('Biodiversity Assessment'!$J$105&gt;0,'Biodiversity Assessment'!$J$105*VLOOKUP('ESVD - Social Value of Bio'!F16&amp;"4",'ESVD - SUMMARY TABLE'!$E$2:$G$294,3,),0),IF(E16='ESVD - Land Use &amp; Climate Match'!$A$11,IF('Biodiversity Assessment'!$Z$102&gt;0,'Biodiversity Assessment'!$Z$102*VLOOKUP('ESVD - Social Value of Bio'!F16&amp;"1",'ESVD - SUMMARY TABLE'!$E$2:$G$294,3,FALSE),0)+IF('Biodiversity Assessment'!$Z$103&gt;0,'Biodiversity Assessment'!$Z$103*VLOOKUP('ESVD - Social Value of Bio'!F16&amp;"2",'ESVD - SUMMARY TABLE'!$E$2:$G$294,3,FALSE),0)+IF('Biodiversity Assessment'!$Z$104&gt;0,'Biodiversity Assessment'!$Z$104*VLOOKUP('ESVD - Social Value of Bio'!F16&amp;"3",'ESVD - SUMMARY TABLE'!$E$2:$G$294,3,FALSE),0)+IF('Biodiversity Assessment'!$Z$105&gt;0,'Biodiversity Assessment'!$Z$105*VLOOKUP('ESVD - Social Value of Bio'!F16&amp;"4",'ESVD - SUMMARY TABLE'!$E$2:$G$294,3,FALSE),0),IF(E16='ESVD - Land Use &amp; Climate Match'!$A$32,IF('Biodiversity Assessment'!$BD$102&gt;0,'Biodiversity Assessment'!$BD$102*VLOOKUP('ESVD - Social Value of Bio'!F16&amp;"1",'ESVD - SUMMARY TABLE'!$E$2:$G$294,3,FALSE),0)+IF('Biodiversity Assessment'!$BD$103&gt;0,'Biodiversity Assessment'!$BD$103*VLOOKUP('ESVD - Social Value of Bio'!F16&amp;"2",'ESVD - SUMMARY TABLE'!$E$2:$G$294,3,FALSE),0)+IF('Biodiversity Assessment'!$BD$104&gt;0,'Biodiversity Assessment'!$BD$104*VLOOKUP('ESVD - Social Value of Bio'!F16&amp;"3",'ESVD - SUMMARY TABLE'!$E$2:$G$294,3,FALSE),0)+IF('Biodiversity Assessment'!$BD$105&gt;0,'Biodiversity Assessment'!$BD$105*VLOOKUP('ESVD - Social Value of Bio'!F16&amp;"4",'ESVD - SUMMARY TABLE'!$E$2:$G$294,3,FALSE),0)+IF('Biodiversity Assessment'!$BD$106&gt;0,'Biodiversity Assessment'!$BD$106*VLOOKUP('ESVD - Social Value of Bio'!F16&amp;"5",'ESVD - SUMMARY TABLE'!$E$2:$G$294,3,FALSE),0),VLOOKUP('ESVD - Social Value of Bio'!F16&amp;"1",'ESVD - SUMMARY TABLE'!$E$2:$G$294,3,FALSE)))),0)</f>
        <v>0</v>
      </c>
      <c r="M16" s="123">
        <f>IFERROR(IF(E16='ESVD - Land Use &amp; Climate Match'!$A$1,IF(SUM('Biodiversity Assessment'!$O$102:$P$105)=SUM('Biodiversity Assessment'!$J$102:$M$105),IF('Biodiversity Assessment'!$O$102&gt;0,'Biodiversity Assessment'!$O$102*VLOOKUP('ESVD - Social Value of Bio'!F16&amp;"1",'ESVD - SUMMARY TABLE'!$E$2:$G$294,3,),0)+IF('Biodiversity Assessment'!$O$103&gt;0,'Biodiversity Assessment'!$O$103*VLOOKUP('ESVD - Social Value of Bio'!F16&amp;"2",'ESVD - SUMMARY TABLE'!$E$2:$G$294,3,),0)+IF('Biodiversity Assessment'!$O$104&gt;0,'Biodiversity Assessment'!$O$104*VLOOKUP('ESVD - Social Value of Bio'!F16&amp;"3",'ESVD - SUMMARY TABLE'!$E$2:$G$294,3,),0)+IF('Biodiversity Assessment'!$O$105&gt;0,'Biodiversity Assessment'!$O$105*VLOOKUP('ESVD - Social Value of Bio'!F16&amp;"4",'ESVD - SUMMARY TABLE'!$E$2:$G$294,3,),0),0),IF(E16='ESVD - Land Use &amp; Climate Match'!$A$11,IF(SUM('Biodiversity Assessment'!$AH$102:$AN$105)=SUM('Biodiversity Assessment'!$Z$102:$AF$105),IF('Biodiversity Assessment'!$AH$102&gt;0,'Biodiversity Assessment'!$AH$102*VLOOKUP('ESVD - Social Value of Bio'!F16&amp;"1",'ESVD - SUMMARY TABLE'!$E$2:$G$294,3,FALSE),0)+IF('Biodiversity Assessment'!$AH$103&gt;0,'Biodiversity Assessment'!$AH$103*VLOOKUP('ESVD - Social Value of Bio'!F16&amp;"2",'ESVD - SUMMARY TABLE'!$E$2:$G$294,3,FALSE),0)+IF('Biodiversity Assessment'!$AH$104&gt;0,'Biodiversity Assessment'!$AH$104*VLOOKUP('ESVD - Social Value of Bio'!F16&amp;"3",'ESVD - SUMMARY TABLE'!$E$2:$G$294,3,FALSE),0)+IF('Biodiversity Assessment'!$AH$105&gt;0,'Biodiversity Assessment'!$AH$105*VLOOKUP('ESVD - Social Value of Bio'!F16&amp;"4",'ESVD - SUMMARY TABLE'!$E$2:$G$294,3,FALSE),0),0),IF(E16='ESVD - Land Use &amp; Climate Match'!$A$32,IF(SUM('Biodiversity Assessment'!$BF$102:$BF$106)=SUM('Biodiversity Assessment'!$BD$102:$BD$106),IF('Biodiversity Assessment'!$BF$102&gt;0,'Biodiversity Assessment'!$BF$102*VLOOKUP('ESVD - Social Value of Bio'!F16&amp;"1",'ESVD - SUMMARY TABLE'!$E$2:$G$294,3,FALSE),0)+IF('Biodiversity Assessment'!$BF$103&gt;0,'Biodiversity Assessment'!$BF$103*VLOOKUP('ESVD - Social Value of Bio'!F16&amp;"2",'ESVD - SUMMARY TABLE'!$E$2:$G$294,3,FALSE),0)+IF('Biodiversity Assessment'!$BF$104&gt;0,'Biodiversity Assessment'!$BF$104*VLOOKUP('ESVD - Social Value of Bio'!F16&amp;"3",'ESVD - SUMMARY TABLE'!$E$2:$G$294,3,FALSE),0)+IF('Biodiversity Assessment'!$BF$105&gt;0,'Biodiversity Assessment'!$BF$105*VLOOKUP('ESVD - Social Value of Bio'!F16&amp;"4",'ESVD - SUMMARY TABLE'!$E$2:$G$294,3,FALSE),0)+IF('Biodiversity Assessment'!$BF$106&gt;0,'Biodiversity Assessment'!$BF$106*VLOOKUP('ESVD - Social Value of Bio'!F16&amp;"5",'ESVD - SUMMARY TABLE'!$E$2:$G$294,3,FALSE),0),0),VLOOKUP('ESVD - Social Value of Bio'!F16&amp;"1",'ESVD - SUMMARY TABLE'!$E$2:$G$294,3,FALSE)))),0)</f>
        <v>0</v>
      </c>
      <c r="N16" s="123">
        <f>'Biodiversity Assessment'!CR31</f>
        <v>0</v>
      </c>
      <c r="O16" s="124">
        <f>IFERROR(IF(N16&gt;0,N16*'Biodiversity Assessment'!M31,IF(M16&gt;0,M16*'Biodiversity Assessment'!M31,L16*'Biodiversity Assessment'!M31)),0)</f>
        <v>0</v>
      </c>
      <c r="P16" s="456"/>
      <c r="R16" s="108" t="str">
        <f>'Biodiversity Assessment'!O31</f>
        <v>Select land use</v>
      </c>
      <c r="S16" s="109" t="str">
        <f>IF(OR(R16=Data!$E$4,R16=Data!$E$5,R16=Data!$E$6,R16=Data!$E$7),Data!$E$4,IF(OR(R16=Data!$E$9,R16=Data!$E$10,R16=Data!$E$11),Data!$E$9,IF(OR(R16=Data!$E$12,R16=Data!$E$13,R16=Data!$E$14),"Cropland",IF(OR(R16=Data!$E$16,R16=Data!$E$17),"Agroforestry",R16))))</f>
        <v>Select land use</v>
      </c>
      <c r="T16" s="109" t="str">
        <f t="shared" si="1"/>
        <v>Please selectPlease selectSelect land use</v>
      </c>
      <c r="U16" s="122">
        <f>IFERROR(IF(S16='ESVD - Land Use &amp; Climate Match'!$A$1,IF('Biodiversity Assessment'!$J$102&gt;0,'Biodiversity Assessment'!$J$102*VLOOKUP('ESVD - Social Value of Bio'!T16&amp;"1",'ESVD - SUMMARY TABLE'!$E$2:$G$294,3,),0)+IF('Biodiversity Assessment'!$J$103&gt;0,'Biodiversity Assessment'!$J$103*VLOOKUP('ESVD - Social Value of Bio'!T16&amp;"2",'ESVD - SUMMARY TABLE'!$E$2:$G$294,3,),0)+IF('Biodiversity Assessment'!$J$104&gt;0,'Biodiversity Assessment'!$J$104*VLOOKUP('ESVD - Social Value of Bio'!T16&amp;"3",'ESVD - SUMMARY TABLE'!$E$2:$G$294,3,),0)+IF('Biodiversity Assessment'!$J$105&gt;0,'Biodiversity Assessment'!$J$105*VLOOKUP('ESVD - Social Value of Bio'!T16&amp;"4",'ESVD - SUMMARY TABLE'!$E$2:$G$294,3,),0),IF(S16='ESVD - Land Use &amp; Climate Match'!$A$11,IF('Biodiversity Assessment'!$Z$102&gt;0,'Biodiversity Assessment'!$Z$102*VLOOKUP('ESVD - Social Value of Bio'!T16&amp;"1",'ESVD - SUMMARY TABLE'!$E$2:$G$294,3,FALSE),0)+IF('Biodiversity Assessment'!$Z$103&gt;0,'Biodiversity Assessment'!$Z$103*VLOOKUP('ESVD - Social Value of Bio'!T16&amp;"2",'ESVD - SUMMARY TABLE'!$E$2:$G$294,3,FALSE),0)+IF('Biodiversity Assessment'!$Z$104&gt;0,'Biodiversity Assessment'!$Z$104*VLOOKUP('ESVD - Social Value of Bio'!T16&amp;"3",'ESVD - SUMMARY TABLE'!$E$2:$G$294,3,FALSE),0)+IF('Biodiversity Assessment'!$Z$105&gt;0,'Biodiversity Assessment'!$Z$105*VLOOKUP('ESVD - Social Value of Bio'!T16&amp;"4",'ESVD - SUMMARY TABLE'!$E$2:$G$294,3,FALSE),0),IF(S16='ESVD - Land Use &amp; Climate Match'!$A$32,IF('Biodiversity Assessment'!$BD$102&gt;0,'Biodiversity Assessment'!$BD$102*VLOOKUP('ESVD - Social Value of Bio'!T16&amp;"1",'ESVD - SUMMARY TABLE'!$E$2:$G$294,3,FALSE),0)+IF('Biodiversity Assessment'!$BD$103&gt;0,'Biodiversity Assessment'!$BD$103*VLOOKUP('ESVD - Social Value of Bio'!T16&amp;"2",'ESVD - SUMMARY TABLE'!$E$2:$G$294,3,FALSE),0)+IF('Biodiversity Assessment'!$BD$104&gt;0,'Biodiversity Assessment'!$BD$104*VLOOKUP('ESVD - Social Value of Bio'!T16&amp;"3",'ESVD - SUMMARY TABLE'!$E$2:$G$294,3,FALSE),0)+IF('Biodiversity Assessment'!$BD$105&gt;0,'Biodiversity Assessment'!$BD$105*VLOOKUP('ESVD - Social Value of Bio'!T16&amp;"4",'ESVD - SUMMARY TABLE'!$E$2:$G$294,3,FALSE),0)+IF('Biodiversity Assessment'!$BD$106&gt;0,'Biodiversity Assessment'!$BD$106*VLOOKUP('ESVD - Social Value of Bio'!T16&amp;"5",'ESVD - SUMMARY TABLE'!$E$2:$G$294,3,FALSE),0),AVERAGE(IF('Biodiversity Assessment'!$J$102&gt;0,'Biodiversity Assessment'!$J$102*VLOOKUP(CONCATENATE(B16,C16,'ESVD - Land Use &amp; Climate Match'!$A$1)&amp;"1",'ESVD - SUMMARY TABLE'!$E$2:$G$294,3,),0)+IF('Biodiversity Assessment'!$J$103&gt;0,'Biodiversity Assessment'!$J$103*VLOOKUP(CONCATENATE(B16,C16,'ESVD - Land Use &amp; Climate Match'!$A$1)&amp;"2",'ESVD - SUMMARY TABLE'!$E$2:$G$294,3,),0)+IF('Biodiversity Assessment'!$J$104&gt;0,'Biodiversity Assessment'!$J$104*VLOOKUP(CONCATENATE(B16,C16,'ESVD - Land Use &amp; Climate Match'!$A$1)&amp;"3",'ESVD - SUMMARY TABLE'!$E$2:$G$294,3,),0)+IF('Biodiversity Assessment'!$J$105&gt;0,'Biodiversity Assessment'!$J$105*VLOOKUP(CONCATENATE(B16,C16,'ESVD - Land Use &amp; Climate Match'!$A$1)&amp;"4",'ESVD - SUMMARY TABLE'!$E$2:$G$294,3,),0),IF('Biodiversity Assessment'!$Z$102&gt;0,'Biodiversity Assessment'!$Z$102*VLOOKUP(CONCATENATE(B16,C16,'ESVD - Land Use &amp; Climate Match'!$A$11)&amp;"1",'ESVD - SUMMARY TABLE'!$E$2:$G$294,3,FALSE),0)+IF('Biodiversity Assessment'!$Z$103&gt;0,'Biodiversity Assessment'!$Z$103*VLOOKUP(CONCATENATE(B16,C16,'ESVD - Land Use &amp; Climate Match'!$A$11)&amp;"2",'ESVD - SUMMARY TABLE'!$E$2:$G$294,3,FALSE),0)+IF('Biodiversity Assessment'!$Z$104&gt;0,'Biodiversity Assessment'!$Z$104*VLOOKUP(CONCATENATE(B16,C16,'ESVD - Land Use &amp; Climate Match'!$A$11)&amp;"3",'ESVD - SUMMARY TABLE'!$E$2:$G$294,3,FALSE),0)+IF('Biodiversity Assessment'!$Z$105&gt;0,'Biodiversity Assessment'!$Z$105*VLOOKUP(CONCATENATE(B16,C16,'ESVD - Land Use &amp; Climate Match'!$A$11)&amp;"4",'ESVD - SUMMARY TABLE'!$E$2:$G$294,3,FALSE),0),IF('Biodiversity Assessment'!$BD$102&gt;0,'Biodiversity Assessment'!$BD$102*VLOOKUP(CONCATENATE(B16,C16,'ESVD - Land Use &amp; Climate Match'!$A$32)&amp;"1",'ESVD - SUMMARY TABLE'!$E$2:$G$294,3,FALSE),0)+IF('Biodiversity Assessment'!$BD$103&gt;0,'Biodiversity Assessment'!$BD$103*VLOOKUP(CONCATENATE(B16,C16,'ESVD - Land Use &amp; Climate Match'!$A$32)&amp;"2",'ESVD - SUMMARY TABLE'!$E$2:$G$294,3,FALSE),0)+IF('Biodiversity Assessment'!$BD$104&gt;0,'Biodiversity Assessment'!$BD$104*VLOOKUP(CONCATENATE(B16,C16,'ESVD - Land Use &amp; Climate Match'!$A$32)&amp;"3",'ESVD - SUMMARY TABLE'!$E$2:$G$294,3,FALSE),0)+IF('Biodiversity Assessment'!$BD$105&gt;0,'Biodiversity Assessment'!$BD$105*VLOOKUP(CONCATENATE(B16,C16,'ESVD - Land Use &amp; Climate Match'!$A$32)&amp;"4",'ESVD - SUMMARY TABLE'!$E$2:$G$294,3,FALSE),0)+IF('Biodiversity Assessment'!$BD$106&gt;0,'Biodiversity Assessment'!$BD$106*VLOOKUP(CONCATENATE(B16,C16,'ESVD - Land Use &amp; Climate Match'!$A$32)&amp;"5",'ESVD - SUMMARY TABLE'!$E$2:$G$294,3,FALSE)))))),0)</f>
        <v>0</v>
      </c>
      <c r="V16" s="122">
        <f>IFERROR(IF(S16='ESVD - Land Use &amp; Climate Match'!$A$1,IF(SUM('Biodiversity Assessment'!$O$102:$P$105)=SUM('Biodiversity Assessment'!$J$102:$M$105),IF('Biodiversity Assessment'!$O$102&gt;0,'Biodiversity Assessment'!$O$102*VLOOKUP('ESVD - Social Value of Bio'!T16&amp;"1",'ESVD - SUMMARY TABLE'!$E$2:$G$294,3,),0)+IF('Biodiversity Assessment'!$O$103&gt;0,'Biodiversity Assessment'!$O$103*VLOOKUP('ESVD - Social Value of Bio'!T16&amp;"2",'ESVD - SUMMARY TABLE'!$E$2:$G$294,3,),0)+IF('Biodiversity Assessment'!$O$104&gt;0,'Biodiversity Assessment'!$O$104*VLOOKUP('ESVD - Social Value of Bio'!T16&amp;"3",'ESVD - SUMMARY TABLE'!$E$2:$G$294,3,),0)+IF('Biodiversity Assessment'!$O$105&gt;0,'Biodiversity Assessment'!$O$105*VLOOKUP('ESVD - Social Value of Bio'!T16&amp;"4",'ESVD - SUMMARY TABLE'!$E$2:$G$294,3,),0),0),IF(S16='ESVD - Land Use &amp; Climate Match'!$A$11,IF(SUM('Biodiversity Assessment'!$AH$102:$AN$105)=SUM('Biodiversity Assessment'!$Z$102:$AF$105),IF('Biodiversity Assessment'!$AH$102&gt;0,'Biodiversity Assessment'!$AH$102*VLOOKUP('ESVD - Social Value of Bio'!T16&amp;"1",'ESVD - SUMMARY TABLE'!$E$2:$G$294,3,FALSE),0)+IF('Biodiversity Assessment'!$AH$103&gt;0,'Biodiversity Assessment'!$AH$103*VLOOKUP('ESVD - Social Value of Bio'!T16&amp;"2",'ESVD - SUMMARY TABLE'!$E$2:$G$294,3,FALSE),0)+IF('Biodiversity Assessment'!$AH$104&gt;0,'Biodiversity Assessment'!$AH$104*VLOOKUP('ESVD - Social Value of Bio'!T16&amp;"3",'ESVD - SUMMARY TABLE'!$E$2:$G$294,3,FALSE),0)+IF('Biodiversity Assessment'!$AH$105&gt;0,'Biodiversity Assessment'!$AH$105*VLOOKUP('ESVD - Social Value of Bio'!T16&amp;"4",'ESVD - SUMMARY TABLE'!$E$2:$G$294,3,FALSE),0),0),IF(S16='ESVD - Land Use &amp; Climate Match'!$A$32,IF(SUM('Biodiversity Assessment'!$BF$102:$BF$106)=SUM('Biodiversity Assessment'!$BD$102:$BD$106),IF('Biodiversity Assessment'!$BF$102&gt;0,'Biodiversity Assessment'!$BF$102*VLOOKUP('ESVD - Social Value of Bio'!T16&amp;"1",'ESVD - SUMMARY TABLE'!$E$2:$G$294,3,FALSE),0)+IF('Biodiversity Assessment'!$BF$103&gt;0,'Biodiversity Assessment'!$BF$103*VLOOKUP('ESVD - Social Value of Bio'!T16&amp;"2",'ESVD - SUMMARY TABLE'!$E$2:$G$294,3,FALSE),0)+IF('Biodiversity Assessment'!$BF$104&gt;0,'Biodiversity Assessment'!$BF$104*VLOOKUP('ESVD - Social Value of Bio'!T16&amp;"3",'ESVD - SUMMARY TABLE'!$E$2:$G$294,3,FALSE),0)+IF('Biodiversity Assessment'!$BF$105&gt;0,'Biodiversity Assessment'!$BF$105*VLOOKUP('ESVD - Social Value of Bio'!T16&amp;"4",'ESVD - SUMMARY TABLE'!$E$2:$G$294,3,FALSE),0)+IF('Biodiversity Assessment'!$BF$106&gt;0,'Biodiversity Assessment'!$BF$106*VLOOKUP('ESVD - Social Value of Bio'!T16&amp;"5",'ESVD - SUMMARY TABLE'!$E$2:$G$294,3,FALSE),0),0),AVERAGE(IF(SUM('Biodiversity Assessment'!$O$102:$P$105)=SUM('Biodiversity Assessment'!$J$102:$M$105),IF('Biodiversity Assessment'!$O$102&gt;0,'Biodiversity Assessment'!$O$102*VLOOKUP(CONCATENATE($B16,$C16,'ESVD - Land Use &amp; Climate Match'!$A$1)&amp;"1",'ESVD - SUMMARY TABLE'!$E$2:$G$294,3,),0)+IF('Biodiversity Assessment'!$O$103&gt;0,'Biodiversity Assessment'!$O$103*VLOOKUP(CONCATENATE($B16,$C16,'ESVD - Land Use &amp; Climate Match'!$A$1)&amp;"2",'ESVD - SUMMARY TABLE'!$E$2:$G$294,3,),0)+IF('Biodiversity Assessment'!$O$104&gt;0,'Biodiversity Assessment'!$O$104*VLOOKUP(CONCATENATE($B16,$C16,'ESVD - Land Use &amp; Climate Match'!$A$1)&amp;"3",'ESVD - SUMMARY TABLE'!$E$2:$G$294,3,),0)+IF('Biodiversity Assessment'!$O$105&gt;0,'Biodiversity Assessment'!$O$105*VLOOKUP(CONCATENATE($B16,$C16,'ESVD - Land Use &amp; Climate Match'!$A$1)&amp;"4",'ESVD - SUMMARY TABLE'!$E$2:$G$294,3,),0),0),IF(SUM('Biodiversity Assessment'!$AH$102:$AN$105)=SUM('Biodiversity Assessment'!$Z$102:$AF$105),IF('Biodiversity Assessment'!$AH$102&gt;0,'Biodiversity Assessment'!$AH$102*VLOOKUP(CONCATENATE($B16,$C16,'ESVD - Land Use &amp; Climate Match'!$A$11)&amp;"1",'ESVD - SUMMARY TABLE'!$E$2:$G$294,3,FALSE),0)+IF('Biodiversity Assessment'!$AH$103&gt;0,'Biodiversity Assessment'!$AH$103*VLOOKUP(CONCATENATE($B16,$C16,'ESVD - Land Use &amp; Climate Match'!$A$11)&amp;"2",'ESVD - SUMMARY TABLE'!$E$2:$G$294,3,FALSE),0)+IF('Biodiversity Assessment'!$AH$104&gt;0,'Biodiversity Assessment'!$AH$104*VLOOKUP(CONCATENATE($B16,$C16,'ESVD - Land Use &amp; Climate Match'!$A$11)&amp;"3",'ESVD - SUMMARY TABLE'!$E$2:$G$294,3,FALSE),0)+IF('Biodiversity Assessment'!$AH$105&gt;0,'Biodiversity Assessment'!$AH$105*VLOOKUP(CONCATENATE($B16,$C16,'ESVD - Land Use &amp; Climate Match'!$A$11)&amp;"4",'ESVD - SUMMARY TABLE'!$E$2:$G$294,3,FALSE),0),0),IF(SUM('Biodiversity Assessment'!$BF$102:$BF$106)=SUM('Biodiversity Assessment'!$BD$102:$BD$106),IF('Biodiversity Assessment'!$BF$102&gt;0,'Biodiversity Assessment'!$BF$102*VLOOKUP(CONCATENATE($B16,$C16,'ESVD - Land Use &amp; Climate Match'!$A$32)&amp;"1",'ESVD - SUMMARY TABLE'!$E$2:$G$294,3,FALSE),0)+IF('Biodiversity Assessment'!$BF$103&gt;0,'Biodiversity Assessment'!$BF$103*VLOOKUP(CONCATENATE($B16,$C16,'ESVD - Land Use &amp; Climate Match'!$A$32)&amp;"2",'ESVD - SUMMARY TABLE'!$E$2:$G$294,3,FALSE),0)+IF('Biodiversity Assessment'!$BF$104&gt;0,'Biodiversity Assessment'!$BF$104*VLOOKUP(CONCATENATE($B16,$C16,'ESVD - Land Use &amp; Climate Match'!$A$32)&amp;"3",'ESVD - SUMMARY TABLE'!$E$2:$G$294,3,FALSE),0)+IF('Biodiversity Assessment'!$BF$105&gt;0,'Biodiversity Assessment'!$BF$105*VLOOKUP(CONCATENATE($B16,$C16,'ESVD - Land Use &amp; Climate Match'!$A$32)&amp;"4",'ESVD - SUMMARY TABLE'!$E$2:$G$294,3,FALSE),0)+IF('Biodiversity Assessment'!$BF$106&gt;0,'Biodiversity Assessment'!$BF$106*VLOOKUP(CONCATENATE($B16,$C16,'ESVD - Land Use &amp; Climate Match'!$A$32)&amp;"5",'ESVD - SUMMARY TABLE'!$E$2:$G$294,3,FALSE),0),0))))),0)</f>
        <v>0</v>
      </c>
      <c r="W16" s="122">
        <f>'Biodiversity Assessment'!CX31</f>
        <v>0</v>
      </c>
      <c r="X16" s="122">
        <f>IFERROR(IF(W16&gt;0,W16*'Biodiversity Assessment'!$U31,IF(V16&gt;0,V16*'Biodiversity Assessment'!$U31,U16*'Biodiversity Assessment'!$U31)),0)</f>
        <v>0</v>
      </c>
      <c r="Y16" s="454"/>
      <c r="Z16" s="123">
        <f>IFERROR(IF(S16='ESVD - Land Use &amp; Climate Match'!$A$1,IF('Biodiversity Assessment'!$J$102&gt;0,'Biodiversity Assessment'!$J$102*VLOOKUP('ESVD - Social Value of Bio'!T16&amp;"1",'ESVD - SUMMARY TABLE'!$E$2:$G$294,3,),0)+IF('Biodiversity Assessment'!$J$103&gt;0,'Biodiversity Assessment'!$J$103*VLOOKUP('ESVD - Social Value of Bio'!T16&amp;"2",'ESVD - SUMMARY TABLE'!$E$2:$G$294,3,),0)+IF('Biodiversity Assessment'!$J$104&gt;0,'Biodiversity Assessment'!$J$104*VLOOKUP('ESVD - Social Value of Bio'!T16&amp;"3",'ESVD - SUMMARY TABLE'!$E$2:$G$294,3,),0)+IF('Biodiversity Assessment'!$J$105&gt;0,'Biodiversity Assessment'!$J$105*VLOOKUP('ESVD - Social Value of Bio'!T16&amp;"4",'ESVD - SUMMARY TABLE'!$E$2:$G$294,3,),0),IF(S16='ESVD - Land Use &amp; Climate Match'!$A$11,IF('Biodiversity Assessment'!$Z$102&gt;0,'Biodiversity Assessment'!$Z$102*VLOOKUP('ESVD - Social Value of Bio'!T16&amp;"1",'ESVD - SUMMARY TABLE'!$E$2:$G$294,3,FALSE),0)+IF('Biodiversity Assessment'!$Z$103&gt;0,'Biodiversity Assessment'!$Z$103*VLOOKUP('ESVD - Social Value of Bio'!T16&amp;"2",'ESVD - SUMMARY TABLE'!$E$2:$G$294,3,FALSE),0)+IF('Biodiversity Assessment'!$Z$104&gt;0,'Biodiversity Assessment'!$Z$104*VLOOKUP('ESVD - Social Value of Bio'!T16&amp;"3",'ESVD - SUMMARY TABLE'!$E$2:$G$294,3,FALSE),0)+IF('Biodiversity Assessment'!$Z$105&gt;0,'Biodiversity Assessment'!$Z$105*VLOOKUP('ESVD - Social Value of Bio'!T16&amp;"4",'ESVD - SUMMARY TABLE'!$E$2:$G$294,3,FALSE),0),IF(S16='ESVD - Land Use &amp; Climate Match'!$A$32,IF('Biodiversity Assessment'!$BD$102&gt;0,'Biodiversity Assessment'!$BD$102*VLOOKUP('ESVD - Social Value of Bio'!T16&amp;"1",'ESVD - SUMMARY TABLE'!$E$2:$G$294,3,FALSE),0)+IF('Biodiversity Assessment'!$BD$103&gt;0,'Biodiversity Assessment'!$BD$103*VLOOKUP('ESVD - Social Value of Bio'!T16&amp;"2",'ESVD - SUMMARY TABLE'!$E$2:$G$294,3,FALSE),0)+IF('Biodiversity Assessment'!$BD$104&gt;0,'Biodiversity Assessment'!$BD$104*VLOOKUP('ESVD - Social Value of Bio'!T16&amp;"3",'ESVD - SUMMARY TABLE'!$E$2:$G$294,3,FALSE),0)+IF('Biodiversity Assessment'!$BD$105&gt;0,'Biodiversity Assessment'!$BD$105*VLOOKUP('ESVD - Social Value of Bio'!T16&amp;"4",'ESVD - SUMMARY TABLE'!$E$2:$G$294,3,FALSE),0)+IF('Biodiversity Assessment'!$BD$106&gt;0,'Biodiversity Assessment'!$BD$106*VLOOKUP('ESVD - Social Value of Bio'!T16&amp;"5",'ESVD - SUMMARY TABLE'!$E$2:$G$294,3,FALSE),0),VLOOKUP('ESVD - Social Value of Bio'!T16&amp;"1",'ESVD - SUMMARY TABLE'!$E$2:$G$294,3,FALSE)))),0)</f>
        <v>0</v>
      </c>
      <c r="AA16" s="123">
        <f>IFERROR(IF(S16='ESVD - Land Use &amp; Climate Match'!$A$1,IF(SUM('Biodiversity Assessment'!$O$102:$P$105)=SUM('Biodiversity Assessment'!$J$102:$M$105),IF('Biodiversity Assessment'!$O$102&gt;0,'Biodiversity Assessment'!$O$102*VLOOKUP('ESVD - Social Value of Bio'!T16&amp;"1",'ESVD - SUMMARY TABLE'!$E$2:$G$294,3,),0)+IF('Biodiversity Assessment'!$O$103&gt;0,'Biodiversity Assessment'!$O$103*VLOOKUP('ESVD - Social Value of Bio'!T16&amp;"2",'ESVD - SUMMARY TABLE'!$E$2:$G$294,3,),0)+IF('Biodiversity Assessment'!$O$104&gt;0,'Biodiversity Assessment'!$O$104*VLOOKUP('ESVD - Social Value of Bio'!T16&amp;"3",'ESVD - SUMMARY TABLE'!$E$2:$G$294,3,),0)+IF('Biodiversity Assessment'!$O$105&gt;0,'Biodiversity Assessment'!$O$105*VLOOKUP('ESVD - Social Value of Bio'!T16&amp;"4",'ESVD - SUMMARY TABLE'!$E$2:$G$294,3,),0),0),IF(S16='ESVD - Land Use &amp; Climate Match'!$A$11,IF(SUM('Biodiversity Assessment'!$AH$102:$AN$105)=SUM('Biodiversity Assessment'!$Z$102:$AF$105),IF('Biodiversity Assessment'!$AH$102&gt;0,'Biodiversity Assessment'!$AH$102*VLOOKUP('ESVD - Social Value of Bio'!T16&amp;"1",'ESVD - SUMMARY TABLE'!$E$2:$G$294,3,FALSE),0)+IF('Biodiversity Assessment'!$AH$103&gt;0,'Biodiversity Assessment'!$AH$103*VLOOKUP('ESVD - Social Value of Bio'!T16&amp;"2",'ESVD - SUMMARY TABLE'!$E$2:$G$294,3,FALSE),0)+IF('Biodiversity Assessment'!$AH$104&gt;0,'Biodiversity Assessment'!$AH$104*VLOOKUP('ESVD - Social Value of Bio'!T16&amp;"3",'ESVD - SUMMARY TABLE'!$E$2:$G$294,3,FALSE),0)+IF('Biodiversity Assessment'!$AH$105&gt;0,'Biodiversity Assessment'!$AH$105*VLOOKUP('ESVD - Social Value of Bio'!T16&amp;"4",'ESVD - SUMMARY TABLE'!$E$2:$G$294,3,FALSE),0),0),IF(S16='ESVD - Land Use &amp; Climate Match'!$A$32,IF(SUM('Biodiversity Assessment'!$BF$102:$BF$106)=SUM('Biodiversity Assessment'!$BD$102:$BD$106),IF('Biodiversity Assessment'!$BF$102&gt;0,'Biodiversity Assessment'!$BF$102*VLOOKUP('ESVD - Social Value of Bio'!T16&amp;"1",'ESVD - SUMMARY TABLE'!$E$2:$G$294,3,FALSE),0)+IF('Biodiversity Assessment'!$BF$103&gt;0,'Biodiversity Assessment'!$BF$103*VLOOKUP('ESVD - Social Value of Bio'!T16&amp;"2",'ESVD - SUMMARY TABLE'!$E$2:$G$294,3,FALSE),0)+IF('Biodiversity Assessment'!$BF$104&gt;0,'Biodiversity Assessment'!$BF$104*VLOOKUP('ESVD - Social Value of Bio'!T16&amp;"3",'ESVD - SUMMARY TABLE'!$E$2:$G$294,3,FALSE),0)+IF('Biodiversity Assessment'!$BF$105&gt;0,'Biodiversity Assessment'!$BF$105*VLOOKUP('ESVD - Social Value of Bio'!T16&amp;"4",'ESVD - SUMMARY TABLE'!$E$2:$G$294,3,FALSE),0)+IF('Biodiversity Assessment'!$BF$106&gt;0,'Biodiversity Assessment'!$BF$106*VLOOKUP('ESVD - Social Value of Bio'!T16&amp;"5",'ESVD - SUMMARY TABLE'!$E$2:$G$294,3,FALSE),0),0),VLOOKUP('ESVD - Social Value of Bio'!T16&amp;"1",'ESVD - SUMMARY TABLE'!$E$2:$G$294,3,FALSE)))),0)</f>
        <v>0</v>
      </c>
      <c r="AB16" s="123">
        <f>'Biodiversity Assessment'!CX31</f>
        <v>0</v>
      </c>
      <c r="AC16" s="124">
        <f>IFERROR(IF(AB16&gt;0,AB16*'Biodiversity Assessment'!U31,IF(AA16&gt;0,AA16*'Biodiversity Assessment'!U31,Z16*'Biodiversity Assessment'!U31)),0)</f>
        <v>0</v>
      </c>
      <c r="AD16" s="456"/>
      <c r="AG16" s="453"/>
    </row>
    <row r="17" spans="1:33" s="110" customFormat="1" ht="10.5" x14ac:dyDescent="0.25">
      <c r="A17" s="107" t="s">
        <v>222</v>
      </c>
      <c r="B17" s="108" t="str">
        <f>IF(Start!$D$28&gt;1000,CONCATENATE(Start!$D$20," Mountain"),Start!$D$20)</f>
        <v>Please select</v>
      </c>
      <c r="C17" s="108" t="str">
        <f>Start!$D$24</f>
        <v>Please select</v>
      </c>
      <c r="D17" s="109" t="str">
        <f>'Biodiversity Assessment'!G32</f>
        <v>Select land use</v>
      </c>
      <c r="E17" s="109" t="str">
        <f>IF(OR(D17=Data!$E$4,D17=Data!$E$5,D17=Data!$E$6,D17=Data!$E$7),Data!$E$4,IF(OR(D17=Data!$E$9,D17=Data!$E$10,D17=Data!$E$11),Data!$E$9,IF(OR(D17=Data!$E$12,D17=Data!$E$13,D17=Data!$E$14),"Cropland",IF(OR(D17=Data!$E$16,D17=Data!$E$17),"Agroforestry",D17))))</f>
        <v>Select land use</v>
      </c>
      <c r="F17" s="109" t="str">
        <f t="shared" si="0"/>
        <v>Please selectPlease selectSelect land use</v>
      </c>
      <c r="G17" s="122">
        <f>IFERROR(IF(E17='ESVD - Land Use &amp; Climate Match'!$A$1,IF('Biodiversity Assessment'!$J$102&gt;0,'Biodiversity Assessment'!$J$102*VLOOKUP('ESVD - Social Value of Bio'!F17&amp;"1",'ESVD - SUMMARY TABLE'!$E$2:$G$294,3,),0)+IF('Biodiversity Assessment'!$J$103&gt;0,'Biodiversity Assessment'!$J$103*VLOOKUP('ESVD - Social Value of Bio'!F17&amp;"2",'ESVD - SUMMARY TABLE'!$E$2:$G$294,3,),0)+IF('Biodiversity Assessment'!$J$104&gt;0,'Biodiversity Assessment'!$J$104*VLOOKUP('ESVD - Social Value of Bio'!F17&amp;"3",'ESVD - SUMMARY TABLE'!$E$2:$G$294,3,),0)+IF('Biodiversity Assessment'!$J$105&gt;0,'Biodiversity Assessment'!$J$105*VLOOKUP('ESVD - Social Value of Bio'!F17&amp;"4",'ESVD - SUMMARY TABLE'!$E$2:$G$294,3,),0),IF(E17='ESVD - Land Use &amp; Climate Match'!$A$11,IF('Biodiversity Assessment'!$Z$102&gt;0,'Biodiversity Assessment'!$Z$102*VLOOKUP('ESVD - Social Value of Bio'!F17&amp;"1",'ESVD - SUMMARY TABLE'!$E$2:$G$294,3,FALSE),0)+IF('Biodiversity Assessment'!$Z$103&gt;0,'Biodiversity Assessment'!$Z$103*VLOOKUP('ESVD - Social Value of Bio'!F17&amp;"2",'ESVD - SUMMARY TABLE'!$E$2:$G$294,3,FALSE),0)+IF('Biodiversity Assessment'!$Z$104&gt;0,'Biodiversity Assessment'!$Z$104*VLOOKUP('ESVD - Social Value of Bio'!F17&amp;"3",'ESVD - SUMMARY TABLE'!$E$2:$G$294,3,FALSE),0)+IF('Biodiversity Assessment'!$Z$105&gt;0,'Biodiversity Assessment'!$Z$105*VLOOKUP('ESVD - Social Value of Bio'!F17&amp;"4",'ESVD - SUMMARY TABLE'!$E$2:$G$294,3,FALSE),0),IF(E17='ESVD - Land Use &amp; Climate Match'!$A$32,IF('Biodiversity Assessment'!$BD$102&gt;0,'Biodiversity Assessment'!$BD$102*VLOOKUP('ESVD - Social Value of Bio'!F17&amp;"1",'ESVD - SUMMARY TABLE'!$E$2:$G$294,3,FALSE),0)+IF('Biodiversity Assessment'!$BD$103&gt;0,'Biodiversity Assessment'!$BD$103*VLOOKUP('ESVD - Social Value of Bio'!F17&amp;"2",'ESVD - SUMMARY TABLE'!$E$2:$G$294,3,FALSE),0)+IF('Biodiversity Assessment'!$BD$104&gt;0,'Biodiversity Assessment'!$BD$104*VLOOKUP('ESVD - Social Value of Bio'!F17&amp;"3",'ESVD - SUMMARY TABLE'!$E$2:$G$294,3,FALSE),0)+IF('Biodiversity Assessment'!$BD$105&gt;0,'Biodiversity Assessment'!$BD$105*VLOOKUP('ESVD - Social Value of Bio'!F17&amp;"4",'ESVD - SUMMARY TABLE'!$E$2:$G$294,3,FALSE),0)+IF('Biodiversity Assessment'!$BD$106&gt;0,'Biodiversity Assessment'!$BD$106*VLOOKUP('ESVD - Social Value of Bio'!F17&amp;"5",'ESVD - SUMMARY TABLE'!$E$2:$G$294,3,FALSE),0),AVERAGE(IF('Biodiversity Assessment'!$J$102&gt;0,'Biodiversity Assessment'!$J$102*VLOOKUP(CONCATENATE($B17,$C17,'ESVD - Land Use &amp; Climate Match'!$A$1)&amp;"1",'ESVD - SUMMARY TABLE'!$E$2:$G$294,3,),0)+IF('Biodiversity Assessment'!$J$103&gt;0,'Biodiversity Assessment'!$J$103*VLOOKUP(CONCATENATE($B17,$C17,'ESVD - Land Use &amp; Climate Match'!$A$1)&amp;"2",'ESVD - SUMMARY TABLE'!$E$2:$G$294,3,),0)+IF('Biodiversity Assessment'!$J$104&gt;0,'Biodiversity Assessment'!$J$104*VLOOKUP(CONCATENATE($B17,$C17,'ESVD - Land Use &amp; Climate Match'!$A$1)&amp;"3",'ESVD - SUMMARY TABLE'!$E$2:$G$294,3,),0)+IF('Biodiversity Assessment'!$J$105&gt;0,'Biodiversity Assessment'!$J$105*VLOOKUP(CONCATENATE($B17,$C17,'ESVD - Land Use &amp; Climate Match'!$A$1)&amp;"4",'ESVD - SUMMARY TABLE'!$E$2:$G$294,3,),0),IF('Biodiversity Assessment'!$Z$102&gt;0,'Biodiversity Assessment'!$Z$102*VLOOKUP(CONCATENATE($B17,$C17,'ESVD - Land Use &amp; Climate Match'!$A$11)&amp;"1",'ESVD - SUMMARY TABLE'!$E$2:$G$294,3,FALSE),0)+IF('Biodiversity Assessment'!$Z$103&gt;0,'Biodiversity Assessment'!$Z$103*VLOOKUP(CONCATENATE($B17,$C17,'ESVD - Land Use &amp; Climate Match'!$A$11)&amp;"2",'ESVD - SUMMARY TABLE'!$E$2:$G$294,3,FALSE),0)+IF('Biodiversity Assessment'!$Z$104&gt;0,'Biodiversity Assessment'!$Z$104*VLOOKUP(CONCATENATE($B17,$C17,'ESVD - Land Use &amp; Climate Match'!$A$11)&amp;"3",'ESVD - SUMMARY TABLE'!$E$2:$G$294,3,FALSE),0)+IF('Biodiversity Assessment'!$Z$105&gt;0,'Biodiversity Assessment'!$Z$105*VLOOKUP(CONCATENATE($B17,$C17,'ESVD - Land Use &amp; Climate Match'!$A$11)&amp;"4",'ESVD - SUMMARY TABLE'!$E$2:$G$294,3,FALSE),0),IF('Biodiversity Assessment'!$BD$102&gt;0,'Biodiversity Assessment'!$BD$102*VLOOKUP(CONCATENATE($B17,$C17,'ESVD - Land Use &amp; Climate Match'!$A$32)&amp;"1",'ESVD - SUMMARY TABLE'!$E$2:$G$294,3,FALSE),0)+IF('Biodiversity Assessment'!$BD$103&gt;0,'Biodiversity Assessment'!$BD$103*VLOOKUP(CONCATENATE($B17,$C17,'ESVD - Land Use &amp; Climate Match'!$A$32)&amp;"2",'ESVD - SUMMARY TABLE'!$E$2:$G$294,3,FALSE),0)+IF('Biodiversity Assessment'!$BD$104&gt;0,'Biodiversity Assessment'!$BD$104*VLOOKUP(CONCATENATE($B17,$C17,'ESVD - Land Use &amp; Climate Match'!$A$32)&amp;"3",'ESVD - SUMMARY TABLE'!$E$2:$G$294,3,FALSE),0)+IF('Biodiversity Assessment'!$BD$105&gt;0,'Biodiversity Assessment'!$BD$105*VLOOKUP(CONCATENATE($B17,$C17,'ESVD - Land Use &amp; Climate Match'!$A$32)&amp;"4",'ESVD - SUMMARY TABLE'!$E$2:$G$294,3,FALSE),0)+IF('Biodiversity Assessment'!$BD$106&gt;0,'Biodiversity Assessment'!$BD$106*VLOOKUP(CONCATENATE($B17,$C17,'ESVD - Land Use &amp; Climate Match'!$A$32)&amp;"5",'ESVD - SUMMARY TABLE'!$E$2:$G$294,3,FALSE)))))),0)</f>
        <v>0</v>
      </c>
      <c r="H17" s="122">
        <f>IFERROR(IF(E17='ESVD - Land Use &amp; Climate Match'!$A$1,IF(SUM('Biodiversity Assessment'!$O$102:$P$105)=SUM('Biodiversity Assessment'!$J$102:$M$105),IF('Biodiversity Assessment'!$O$102&gt;0,'Biodiversity Assessment'!$O$102*VLOOKUP('ESVD - Social Value of Bio'!F17&amp;"1",'ESVD - SUMMARY TABLE'!$E$2:$G$294,3,),0)+IF('Biodiversity Assessment'!$O$103&gt;0,'Biodiversity Assessment'!$O$103*VLOOKUP('ESVD - Social Value of Bio'!F17&amp;"2",'ESVD - SUMMARY TABLE'!$E$2:$G$294,3,),0)+IF('Biodiversity Assessment'!$O$104&gt;0,'Biodiversity Assessment'!$O$104*VLOOKUP('ESVD - Social Value of Bio'!F17&amp;"3",'ESVD - SUMMARY TABLE'!$E$2:$G$294,3,),0)+IF('Biodiversity Assessment'!$O$105&gt;0,'Biodiversity Assessment'!$O$105*VLOOKUP('ESVD - Social Value of Bio'!F17&amp;"4",'ESVD - SUMMARY TABLE'!$E$2:$G$294,3,),0),0),IF(E17='ESVD - Land Use &amp; Climate Match'!$A$11,IF(SUM('Biodiversity Assessment'!$AH$102:$AN$105)=SUM('Biodiversity Assessment'!$Z$102:$AF$105),IF('Biodiversity Assessment'!$AH$102&gt;0,'Biodiversity Assessment'!$AH$102*VLOOKUP('ESVD - Social Value of Bio'!F17&amp;"1",'ESVD - SUMMARY TABLE'!$E$2:$G$294,3,FALSE),0)+IF('Biodiversity Assessment'!$AH$103&gt;0,'Biodiversity Assessment'!$AH$103*VLOOKUP('ESVD - Social Value of Bio'!F17&amp;"2",'ESVD - SUMMARY TABLE'!$E$2:$G$294,3,FALSE),0)+IF('Biodiversity Assessment'!$AH$104&gt;0,'Biodiversity Assessment'!$AH$104*VLOOKUP('ESVD - Social Value of Bio'!F17&amp;"3",'ESVD - SUMMARY TABLE'!$E$2:$G$294,3,FALSE),0)+IF('Biodiversity Assessment'!$AH$105&gt;0,'Biodiversity Assessment'!$AH$105*VLOOKUP('ESVD - Social Value of Bio'!F17&amp;"4",'ESVD - SUMMARY TABLE'!$E$2:$G$294,3,FALSE),0),0),IF(E17='ESVD - Land Use &amp; Climate Match'!$A$32,IF(SUM('Biodiversity Assessment'!$BF$102:$BF$106)=SUM('Biodiversity Assessment'!$BD$102:$BD$106),IF('Biodiversity Assessment'!$BF$102&gt;0,'Biodiversity Assessment'!$BF$102*VLOOKUP('ESVD - Social Value of Bio'!F17&amp;"1",'ESVD - SUMMARY TABLE'!$E$2:$G$294,3,FALSE),0)+IF('Biodiversity Assessment'!$BF$103&gt;0,'Biodiversity Assessment'!$BF$103*VLOOKUP('ESVD - Social Value of Bio'!F17&amp;"2",'ESVD - SUMMARY TABLE'!$E$2:$G$294,3,FALSE),0)+IF('Biodiversity Assessment'!$BF$104&gt;0,'Biodiversity Assessment'!$BF$104*VLOOKUP('ESVD - Social Value of Bio'!F17&amp;"3",'ESVD - SUMMARY TABLE'!$E$2:$G$294,3,FALSE),0)+IF('Biodiversity Assessment'!$BF$105&gt;0,'Biodiversity Assessment'!$BF$105*VLOOKUP('ESVD - Social Value of Bio'!F17&amp;"4",'ESVD - SUMMARY TABLE'!$E$2:$G$294,3,FALSE),0)+IF('Biodiversity Assessment'!$BF$106&gt;0,'Biodiversity Assessment'!$BF$106*VLOOKUP('ESVD - Social Value of Bio'!F17&amp;"5",'ESVD - SUMMARY TABLE'!$E$2:$G$294,3,FALSE),0),0),AVERAGE(IF(SUM('Biodiversity Assessment'!$O$102:$P$105)=SUM('Biodiversity Assessment'!$J$102:$M$105),IF('Biodiversity Assessment'!$O$102&gt;0,'Biodiversity Assessment'!$O$102*VLOOKUP(CONCATENATE($B17,$C17,'ESVD - Land Use &amp; Climate Match'!$A$1)&amp;"1",'ESVD - SUMMARY TABLE'!$E$2:$G$294,3,),0)+IF('Biodiversity Assessment'!$O$103&gt;0,'Biodiversity Assessment'!$O$103*VLOOKUP(CONCATENATE($B17,$C17,'ESVD - Land Use &amp; Climate Match'!$A$1)&amp;"2",'ESVD - SUMMARY TABLE'!$E$2:$G$294,3,),0)+IF('Biodiversity Assessment'!$O$104&gt;0,'Biodiversity Assessment'!$O$104*VLOOKUP(CONCATENATE($B17,$C17,'ESVD - Land Use &amp; Climate Match'!$A$1)&amp;"3",'ESVD - SUMMARY TABLE'!$E$2:$G$294,3,),0)+IF('Biodiversity Assessment'!$O$105&gt;0,'Biodiversity Assessment'!$O$105*VLOOKUP(CONCATENATE($B17,$C17,'ESVD - Land Use &amp; Climate Match'!$A$1)&amp;"4",'ESVD - SUMMARY TABLE'!$E$2:$G$294,3,),0),0),IF(SUM('Biodiversity Assessment'!$AH$102:$AN$105)=SUM('Biodiversity Assessment'!$Z$102:$AF$105),IF('Biodiversity Assessment'!$AH$102&gt;0,'Biodiversity Assessment'!$AH$102*VLOOKUP(CONCATENATE($B17,$C17,'ESVD - Land Use &amp; Climate Match'!$A$11)&amp;"1",'ESVD - SUMMARY TABLE'!$E$2:$G$294,3,FALSE),0)+IF('Biodiversity Assessment'!$AH$103&gt;0,'Biodiversity Assessment'!$AH$103*VLOOKUP(CONCATENATE($B17,$C17,'ESVD - Land Use &amp; Climate Match'!$A$11)&amp;"2",'ESVD - SUMMARY TABLE'!$E$2:$G$294,3,FALSE),0)+IF('Biodiversity Assessment'!$AH$104&gt;0,'Biodiversity Assessment'!$AH$104*VLOOKUP(CONCATENATE($B17,$C17,'ESVD - Land Use &amp; Climate Match'!$A$11)&amp;"3",'ESVD - SUMMARY TABLE'!$E$2:$G$294,3,FALSE),0)+IF('Biodiversity Assessment'!$AH$105&gt;0,'Biodiversity Assessment'!$AH$105*VLOOKUP(CONCATENATE($B17,$C17,'ESVD - Land Use &amp; Climate Match'!$A$11)&amp;"4",'ESVD - SUMMARY TABLE'!$E$2:$G$294,3,FALSE),0),0),IF(SUM('Biodiversity Assessment'!$BF$102:$BF$106)=SUM('Biodiversity Assessment'!$BD$102:$BD$106),IF('Biodiversity Assessment'!$BF$102&gt;0,'Biodiversity Assessment'!$BF$102*VLOOKUP(CONCATENATE($B17,$C17,'ESVD - Land Use &amp; Climate Match'!$A$32)&amp;"1",'ESVD - SUMMARY TABLE'!$E$2:$G$294,3,FALSE),0)+IF('Biodiversity Assessment'!$BF$103&gt;0,'Biodiversity Assessment'!$BF$103*VLOOKUP(CONCATENATE($B17,$C17,'ESVD - Land Use &amp; Climate Match'!$A$32)&amp;"2",'ESVD - SUMMARY TABLE'!$E$2:$G$294,3,FALSE),0)+IF('Biodiversity Assessment'!$BF$104&gt;0,'Biodiversity Assessment'!$BF$104*VLOOKUP(CONCATENATE($B17,$C17,'ESVD - Land Use &amp; Climate Match'!$A$32)&amp;"3",'ESVD - SUMMARY TABLE'!$E$2:$G$294,3,FALSE),0)+IF('Biodiversity Assessment'!$BF$105&gt;0,'Biodiversity Assessment'!$BF$105*VLOOKUP(CONCATENATE($B17,$C17,'ESVD - Land Use &amp; Climate Match'!$A$32)&amp;"4",'ESVD - SUMMARY TABLE'!$E$2:$G$294,3,FALSE),0)+IF('Biodiversity Assessment'!$BF$106&gt;0,'Biodiversity Assessment'!$BF$106*VLOOKUP(CONCATENATE($B17,$C17,'ESVD - Land Use &amp; Climate Match'!$A$32)&amp;"5",'ESVD - SUMMARY TABLE'!$E$2:$G$294,3,FALSE),0),0))))),0)</f>
        <v>0</v>
      </c>
      <c r="I17" s="122">
        <f>'Biodiversity Assessment'!CR32</f>
        <v>0</v>
      </c>
      <c r="J17" s="122">
        <f>IFERROR(IF(I17&gt;0,I17*'Biodiversity Assessment'!$M32,IF(H17&gt;0,H17*'Biodiversity Assessment'!$M32,G17*'Biodiversity Assessment'!$M32)),0)</f>
        <v>0</v>
      </c>
      <c r="K17" s="454"/>
      <c r="L17" s="123">
        <f>IFERROR(IF(E17='ESVD - Land Use &amp; Climate Match'!$A$1,IF('Biodiversity Assessment'!$J$102&gt;0,'Biodiversity Assessment'!$J$102*VLOOKUP('ESVD - Social Value of Bio'!F17&amp;"1",'ESVD - SUMMARY TABLE'!$E$2:$G$294,3,),0)+IF('Biodiversity Assessment'!$J$103&gt;0,'Biodiversity Assessment'!$J$103*VLOOKUP('ESVD - Social Value of Bio'!F17&amp;"2",'ESVD - SUMMARY TABLE'!$E$2:$G$294,3,),0)+IF('Biodiversity Assessment'!$J$104&gt;0,'Biodiversity Assessment'!$J$104*VLOOKUP('ESVD - Social Value of Bio'!F17&amp;"3",'ESVD - SUMMARY TABLE'!$E$2:$G$294,3,),0)+IF('Biodiversity Assessment'!$J$105&gt;0,'Biodiversity Assessment'!$J$105*VLOOKUP('ESVD - Social Value of Bio'!F17&amp;"4",'ESVD - SUMMARY TABLE'!$E$2:$G$294,3,),0),IF(E17='ESVD - Land Use &amp; Climate Match'!$A$11,IF('Biodiversity Assessment'!$Z$102&gt;0,'Biodiversity Assessment'!$Z$102*VLOOKUP('ESVD - Social Value of Bio'!F17&amp;"1",'ESVD - SUMMARY TABLE'!$E$2:$G$294,3,FALSE),0)+IF('Biodiversity Assessment'!$Z$103&gt;0,'Biodiversity Assessment'!$Z$103*VLOOKUP('ESVD - Social Value of Bio'!F17&amp;"2",'ESVD - SUMMARY TABLE'!$E$2:$G$294,3,FALSE),0)+IF('Biodiversity Assessment'!$Z$104&gt;0,'Biodiversity Assessment'!$Z$104*VLOOKUP('ESVD - Social Value of Bio'!F17&amp;"3",'ESVD - SUMMARY TABLE'!$E$2:$G$294,3,FALSE),0)+IF('Biodiversity Assessment'!$Z$105&gt;0,'Biodiversity Assessment'!$Z$105*VLOOKUP('ESVD - Social Value of Bio'!F17&amp;"4",'ESVD - SUMMARY TABLE'!$E$2:$G$294,3,FALSE),0),IF(E17='ESVD - Land Use &amp; Climate Match'!$A$32,IF('Biodiversity Assessment'!$BD$102&gt;0,'Biodiversity Assessment'!$BD$102*VLOOKUP('ESVD - Social Value of Bio'!F17&amp;"1",'ESVD - SUMMARY TABLE'!$E$2:$G$294,3,FALSE),0)+IF('Biodiversity Assessment'!$BD$103&gt;0,'Biodiversity Assessment'!$BD$103*VLOOKUP('ESVD - Social Value of Bio'!F17&amp;"2",'ESVD - SUMMARY TABLE'!$E$2:$G$294,3,FALSE),0)+IF('Biodiversity Assessment'!$BD$104&gt;0,'Biodiversity Assessment'!$BD$104*VLOOKUP('ESVD - Social Value of Bio'!F17&amp;"3",'ESVD - SUMMARY TABLE'!$E$2:$G$294,3,FALSE),0)+IF('Biodiversity Assessment'!$BD$105&gt;0,'Biodiversity Assessment'!$BD$105*VLOOKUP('ESVD - Social Value of Bio'!F17&amp;"4",'ESVD - SUMMARY TABLE'!$E$2:$G$294,3,FALSE),0)+IF('Biodiversity Assessment'!$BD$106&gt;0,'Biodiversity Assessment'!$BD$106*VLOOKUP('ESVD - Social Value of Bio'!F17&amp;"5",'ESVD - SUMMARY TABLE'!$E$2:$G$294,3,FALSE),0),VLOOKUP('ESVD - Social Value of Bio'!F17&amp;"1",'ESVD - SUMMARY TABLE'!$E$2:$G$294,3,FALSE)))),0)</f>
        <v>0</v>
      </c>
      <c r="M17" s="123">
        <f>IFERROR(IF(E17='ESVD - Land Use &amp; Climate Match'!$A$1,IF(SUM('Biodiversity Assessment'!$O$102:$P$105)=SUM('Biodiversity Assessment'!$J$102:$M$105),IF('Biodiversity Assessment'!$O$102&gt;0,'Biodiversity Assessment'!$O$102*VLOOKUP('ESVD - Social Value of Bio'!F17&amp;"1",'ESVD - SUMMARY TABLE'!$E$2:$G$294,3,),0)+IF('Biodiversity Assessment'!$O$103&gt;0,'Biodiversity Assessment'!$O$103*VLOOKUP('ESVD - Social Value of Bio'!F17&amp;"2",'ESVD - SUMMARY TABLE'!$E$2:$G$294,3,),0)+IF('Biodiversity Assessment'!$O$104&gt;0,'Biodiversity Assessment'!$O$104*VLOOKUP('ESVD - Social Value of Bio'!F17&amp;"3",'ESVD - SUMMARY TABLE'!$E$2:$G$294,3,),0)+IF('Biodiversity Assessment'!$O$105&gt;0,'Biodiversity Assessment'!$O$105*VLOOKUP('ESVD - Social Value of Bio'!F17&amp;"4",'ESVD - SUMMARY TABLE'!$E$2:$G$294,3,),0),0),IF(E17='ESVD - Land Use &amp; Climate Match'!$A$11,IF(SUM('Biodiversity Assessment'!$AH$102:$AN$105)=SUM('Biodiversity Assessment'!$Z$102:$AF$105),IF('Biodiversity Assessment'!$AH$102&gt;0,'Biodiversity Assessment'!$AH$102*VLOOKUP('ESVD - Social Value of Bio'!F17&amp;"1",'ESVD - SUMMARY TABLE'!$E$2:$G$294,3,FALSE),0)+IF('Biodiversity Assessment'!$AH$103&gt;0,'Biodiversity Assessment'!$AH$103*VLOOKUP('ESVD - Social Value of Bio'!F17&amp;"2",'ESVD - SUMMARY TABLE'!$E$2:$G$294,3,FALSE),0)+IF('Biodiversity Assessment'!$AH$104&gt;0,'Biodiversity Assessment'!$AH$104*VLOOKUP('ESVD - Social Value of Bio'!F17&amp;"3",'ESVD - SUMMARY TABLE'!$E$2:$G$294,3,FALSE),0)+IF('Biodiversity Assessment'!$AH$105&gt;0,'Biodiversity Assessment'!$AH$105*VLOOKUP('ESVD - Social Value of Bio'!F17&amp;"4",'ESVD - SUMMARY TABLE'!$E$2:$G$294,3,FALSE),0),0),IF(E17='ESVD - Land Use &amp; Climate Match'!$A$32,IF(SUM('Biodiversity Assessment'!$BF$102:$BF$106)=SUM('Biodiversity Assessment'!$BD$102:$BD$106),IF('Biodiversity Assessment'!$BF$102&gt;0,'Biodiversity Assessment'!$BF$102*VLOOKUP('ESVD - Social Value of Bio'!F17&amp;"1",'ESVD - SUMMARY TABLE'!$E$2:$G$294,3,FALSE),0)+IF('Biodiversity Assessment'!$BF$103&gt;0,'Biodiversity Assessment'!$BF$103*VLOOKUP('ESVD - Social Value of Bio'!F17&amp;"2",'ESVD - SUMMARY TABLE'!$E$2:$G$294,3,FALSE),0)+IF('Biodiversity Assessment'!$BF$104&gt;0,'Biodiversity Assessment'!$BF$104*VLOOKUP('ESVD - Social Value of Bio'!F17&amp;"3",'ESVD - SUMMARY TABLE'!$E$2:$G$294,3,FALSE),0)+IF('Biodiversity Assessment'!$BF$105&gt;0,'Biodiversity Assessment'!$BF$105*VLOOKUP('ESVD - Social Value of Bio'!F17&amp;"4",'ESVD - SUMMARY TABLE'!$E$2:$G$294,3,FALSE),0)+IF('Biodiversity Assessment'!$BF$106&gt;0,'Biodiversity Assessment'!$BF$106*VLOOKUP('ESVD - Social Value of Bio'!F17&amp;"5",'ESVD - SUMMARY TABLE'!$E$2:$G$294,3,FALSE),0),0),VLOOKUP('ESVD - Social Value of Bio'!F17&amp;"1",'ESVD - SUMMARY TABLE'!$E$2:$G$294,3,FALSE)))),0)</f>
        <v>0</v>
      </c>
      <c r="N17" s="123">
        <f>'Biodiversity Assessment'!CR32</f>
        <v>0</v>
      </c>
      <c r="O17" s="124">
        <f>IFERROR(IF(N17&gt;0,N17*'Biodiversity Assessment'!M32,IF(M17&gt;0,M17*'Biodiversity Assessment'!M32,L17*'Biodiversity Assessment'!M32)),0)</f>
        <v>0</v>
      </c>
      <c r="P17" s="456"/>
      <c r="R17" s="108" t="str">
        <f>'Biodiversity Assessment'!O32</f>
        <v>Select land use</v>
      </c>
      <c r="S17" s="109" t="str">
        <f>IF(OR(R17=Data!$E$4,R17=Data!$E$5,R17=Data!$E$6,R17=Data!$E$7),Data!$E$4,IF(OR(R17=Data!$E$9,R17=Data!$E$10,R17=Data!$E$11),Data!$E$9,IF(OR(R17=Data!$E$12,R17=Data!$E$13,R17=Data!$E$14),"Cropland",IF(OR(R17=Data!$E$16,R17=Data!$E$17),"Agroforestry",R17))))</f>
        <v>Select land use</v>
      </c>
      <c r="T17" s="109" t="str">
        <f t="shared" si="1"/>
        <v>Please selectPlease selectSelect land use</v>
      </c>
      <c r="U17" s="122">
        <f>IFERROR(IF(S17='ESVD - Land Use &amp; Climate Match'!$A$1,IF('Biodiversity Assessment'!$J$102&gt;0,'Biodiversity Assessment'!$J$102*VLOOKUP('ESVD - Social Value of Bio'!T17&amp;"1",'ESVD - SUMMARY TABLE'!$E$2:$G$294,3,),0)+IF('Biodiversity Assessment'!$J$103&gt;0,'Biodiversity Assessment'!$J$103*VLOOKUP('ESVD - Social Value of Bio'!T17&amp;"2",'ESVD - SUMMARY TABLE'!$E$2:$G$294,3,),0)+IF('Biodiversity Assessment'!$J$104&gt;0,'Biodiversity Assessment'!$J$104*VLOOKUP('ESVD - Social Value of Bio'!T17&amp;"3",'ESVD - SUMMARY TABLE'!$E$2:$G$294,3,),0)+IF('Biodiversity Assessment'!$J$105&gt;0,'Biodiversity Assessment'!$J$105*VLOOKUP('ESVD - Social Value of Bio'!T17&amp;"4",'ESVD - SUMMARY TABLE'!$E$2:$G$294,3,),0),IF(S17='ESVD - Land Use &amp; Climate Match'!$A$11,IF('Biodiversity Assessment'!$Z$102&gt;0,'Biodiversity Assessment'!$Z$102*VLOOKUP('ESVD - Social Value of Bio'!T17&amp;"1",'ESVD - SUMMARY TABLE'!$E$2:$G$294,3,FALSE),0)+IF('Biodiversity Assessment'!$Z$103&gt;0,'Biodiversity Assessment'!$Z$103*VLOOKUP('ESVD - Social Value of Bio'!T17&amp;"2",'ESVD - SUMMARY TABLE'!$E$2:$G$294,3,FALSE),0)+IF('Biodiversity Assessment'!$Z$104&gt;0,'Biodiversity Assessment'!$Z$104*VLOOKUP('ESVD - Social Value of Bio'!T17&amp;"3",'ESVD - SUMMARY TABLE'!$E$2:$G$294,3,FALSE),0)+IF('Biodiversity Assessment'!$Z$105&gt;0,'Biodiversity Assessment'!$Z$105*VLOOKUP('ESVD - Social Value of Bio'!T17&amp;"4",'ESVD - SUMMARY TABLE'!$E$2:$G$294,3,FALSE),0),IF(S17='ESVD - Land Use &amp; Climate Match'!$A$32,IF('Biodiversity Assessment'!$BD$102&gt;0,'Biodiversity Assessment'!$BD$102*VLOOKUP('ESVD - Social Value of Bio'!T17&amp;"1",'ESVD - SUMMARY TABLE'!$E$2:$G$294,3,FALSE),0)+IF('Biodiversity Assessment'!$BD$103&gt;0,'Biodiversity Assessment'!$BD$103*VLOOKUP('ESVD - Social Value of Bio'!T17&amp;"2",'ESVD - SUMMARY TABLE'!$E$2:$G$294,3,FALSE),0)+IF('Biodiversity Assessment'!$BD$104&gt;0,'Biodiversity Assessment'!$BD$104*VLOOKUP('ESVD - Social Value of Bio'!T17&amp;"3",'ESVD - SUMMARY TABLE'!$E$2:$G$294,3,FALSE),0)+IF('Biodiversity Assessment'!$BD$105&gt;0,'Biodiversity Assessment'!$BD$105*VLOOKUP('ESVD - Social Value of Bio'!T17&amp;"4",'ESVD - SUMMARY TABLE'!$E$2:$G$294,3,FALSE),0)+IF('Biodiversity Assessment'!$BD$106&gt;0,'Biodiversity Assessment'!$BD$106*VLOOKUP('ESVD - Social Value of Bio'!T17&amp;"5",'ESVD - SUMMARY TABLE'!$E$2:$G$294,3,FALSE),0),AVERAGE(IF('Biodiversity Assessment'!$J$102&gt;0,'Biodiversity Assessment'!$J$102*VLOOKUP(CONCATENATE(B17,C17,'ESVD - Land Use &amp; Climate Match'!$A$1)&amp;"1",'ESVD - SUMMARY TABLE'!$E$2:$G$294,3,),0)+IF('Biodiversity Assessment'!$J$103&gt;0,'Biodiversity Assessment'!$J$103*VLOOKUP(CONCATENATE(B17,C17,'ESVD - Land Use &amp; Climate Match'!$A$1)&amp;"2",'ESVD - SUMMARY TABLE'!$E$2:$G$294,3,),0)+IF('Biodiversity Assessment'!$J$104&gt;0,'Biodiversity Assessment'!$J$104*VLOOKUP(CONCATENATE(B17,C17,'ESVD - Land Use &amp; Climate Match'!$A$1)&amp;"3",'ESVD - SUMMARY TABLE'!$E$2:$G$294,3,),0)+IF('Biodiversity Assessment'!$J$105&gt;0,'Biodiversity Assessment'!$J$105*VLOOKUP(CONCATENATE(B17,C17,'ESVD - Land Use &amp; Climate Match'!$A$1)&amp;"4",'ESVD - SUMMARY TABLE'!$E$2:$G$294,3,),0),IF('Biodiversity Assessment'!$Z$102&gt;0,'Biodiversity Assessment'!$Z$102*VLOOKUP(CONCATENATE(B17,C17,'ESVD - Land Use &amp; Climate Match'!$A$11)&amp;"1",'ESVD - SUMMARY TABLE'!$E$2:$G$294,3,FALSE),0)+IF('Biodiversity Assessment'!$Z$103&gt;0,'Biodiversity Assessment'!$Z$103*VLOOKUP(CONCATENATE(B17,C17,'ESVD - Land Use &amp; Climate Match'!$A$11)&amp;"2",'ESVD - SUMMARY TABLE'!$E$2:$G$294,3,FALSE),0)+IF('Biodiversity Assessment'!$Z$104&gt;0,'Biodiversity Assessment'!$Z$104*VLOOKUP(CONCATENATE(B17,C17,'ESVD - Land Use &amp; Climate Match'!$A$11)&amp;"3",'ESVD - SUMMARY TABLE'!$E$2:$G$294,3,FALSE),0)+IF('Biodiversity Assessment'!$Z$105&gt;0,'Biodiversity Assessment'!$Z$105*VLOOKUP(CONCATENATE(B17,C17,'ESVD - Land Use &amp; Climate Match'!$A$11)&amp;"4",'ESVD - SUMMARY TABLE'!$E$2:$G$294,3,FALSE),0),IF('Biodiversity Assessment'!$BD$102&gt;0,'Biodiversity Assessment'!$BD$102*VLOOKUP(CONCATENATE(B17,C17,'ESVD - Land Use &amp; Climate Match'!$A$32)&amp;"1",'ESVD - SUMMARY TABLE'!$E$2:$G$294,3,FALSE),0)+IF('Biodiversity Assessment'!$BD$103&gt;0,'Biodiversity Assessment'!$BD$103*VLOOKUP(CONCATENATE(B17,C17,'ESVD - Land Use &amp; Climate Match'!$A$32)&amp;"2",'ESVD - SUMMARY TABLE'!$E$2:$G$294,3,FALSE),0)+IF('Biodiversity Assessment'!$BD$104&gt;0,'Biodiversity Assessment'!$BD$104*VLOOKUP(CONCATENATE(B17,C17,'ESVD - Land Use &amp; Climate Match'!$A$32)&amp;"3",'ESVD - SUMMARY TABLE'!$E$2:$G$294,3,FALSE),0)+IF('Biodiversity Assessment'!$BD$105&gt;0,'Biodiversity Assessment'!$BD$105*VLOOKUP(CONCATENATE(B17,C17,'ESVD - Land Use &amp; Climate Match'!$A$32)&amp;"4",'ESVD - SUMMARY TABLE'!$E$2:$G$294,3,FALSE),0)+IF('Biodiversity Assessment'!$BD$106&gt;0,'Biodiversity Assessment'!$BD$106*VLOOKUP(CONCATENATE(B17,C17,'ESVD - Land Use &amp; Climate Match'!$A$32)&amp;"5",'ESVD - SUMMARY TABLE'!$E$2:$G$294,3,FALSE)))))),0)</f>
        <v>0</v>
      </c>
      <c r="V17" s="122">
        <f>IFERROR(IF(S17='ESVD - Land Use &amp; Climate Match'!$A$1,IF(SUM('Biodiversity Assessment'!$O$102:$P$105)=SUM('Biodiversity Assessment'!$J$102:$M$105),IF('Biodiversity Assessment'!$O$102&gt;0,'Biodiversity Assessment'!$O$102*VLOOKUP('ESVD - Social Value of Bio'!T17&amp;"1",'ESVD - SUMMARY TABLE'!$E$2:$G$294,3,),0)+IF('Biodiversity Assessment'!$O$103&gt;0,'Biodiversity Assessment'!$O$103*VLOOKUP('ESVD - Social Value of Bio'!T17&amp;"2",'ESVD - SUMMARY TABLE'!$E$2:$G$294,3,),0)+IF('Biodiversity Assessment'!$O$104&gt;0,'Biodiversity Assessment'!$O$104*VLOOKUP('ESVD - Social Value of Bio'!T17&amp;"3",'ESVD - SUMMARY TABLE'!$E$2:$G$294,3,),0)+IF('Biodiversity Assessment'!$O$105&gt;0,'Biodiversity Assessment'!$O$105*VLOOKUP('ESVD - Social Value of Bio'!T17&amp;"4",'ESVD - SUMMARY TABLE'!$E$2:$G$294,3,),0),0),IF(S17='ESVD - Land Use &amp; Climate Match'!$A$11,IF(SUM('Biodiversity Assessment'!$AH$102:$AN$105)=SUM('Biodiversity Assessment'!$Z$102:$AF$105),IF('Biodiversity Assessment'!$AH$102&gt;0,'Biodiversity Assessment'!$AH$102*VLOOKUP('ESVD - Social Value of Bio'!T17&amp;"1",'ESVD - SUMMARY TABLE'!$E$2:$G$294,3,FALSE),0)+IF('Biodiversity Assessment'!$AH$103&gt;0,'Biodiversity Assessment'!$AH$103*VLOOKUP('ESVD - Social Value of Bio'!T17&amp;"2",'ESVD - SUMMARY TABLE'!$E$2:$G$294,3,FALSE),0)+IF('Biodiversity Assessment'!$AH$104&gt;0,'Biodiversity Assessment'!$AH$104*VLOOKUP('ESVD - Social Value of Bio'!T17&amp;"3",'ESVD - SUMMARY TABLE'!$E$2:$G$294,3,FALSE),0)+IF('Biodiversity Assessment'!$AH$105&gt;0,'Biodiversity Assessment'!$AH$105*VLOOKUP('ESVD - Social Value of Bio'!T17&amp;"4",'ESVD - SUMMARY TABLE'!$E$2:$G$294,3,FALSE),0),0),IF(S17='ESVD - Land Use &amp; Climate Match'!$A$32,IF(SUM('Biodiversity Assessment'!$BF$102:$BF$106)=SUM('Biodiversity Assessment'!$BD$102:$BD$106),IF('Biodiversity Assessment'!$BF$102&gt;0,'Biodiversity Assessment'!$BF$102*VLOOKUP('ESVD - Social Value of Bio'!T17&amp;"1",'ESVD - SUMMARY TABLE'!$E$2:$G$294,3,FALSE),0)+IF('Biodiversity Assessment'!$BF$103&gt;0,'Biodiversity Assessment'!$BF$103*VLOOKUP('ESVD - Social Value of Bio'!T17&amp;"2",'ESVD - SUMMARY TABLE'!$E$2:$G$294,3,FALSE),0)+IF('Biodiversity Assessment'!$BF$104&gt;0,'Biodiversity Assessment'!$BF$104*VLOOKUP('ESVD - Social Value of Bio'!T17&amp;"3",'ESVD - SUMMARY TABLE'!$E$2:$G$294,3,FALSE),0)+IF('Biodiversity Assessment'!$BF$105&gt;0,'Biodiversity Assessment'!$BF$105*VLOOKUP('ESVD - Social Value of Bio'!T17&amp;"4",'ESVD - SUMMARY TABLE'!$E$2:$G$294,3,FALSE),0)+IF('Biodiversity Assessment'!$BF$106&gt;0,'Biodiversity Assessment'!$BF$106*VLOOKUP('ESVD - Social Value of Bio'!T17&amp;"5",'ESVD - SUMMARY TABLE'!$E$2:$G$294,3,FALSE),0),0),AVERAGE(IF(SUM('Biodiversity Assessment'!$O$102:$P$105)=SUM('Biodiversity Assessment'!$J$102:$M$105),IF('Biodiversity Assessment'!$O$102&gt;0,'Biodiversity Assessment'!$O$102*VLOOKUP(CONCATENATE($B17,$C17,'ESVD - Land Use &amp; Climate Match'!$A$1)&amp;"1",'ESVD - SUMMARY TABLE'!$E$2:$G$294,3,),0)+IF('Biodiversity Assessment'!$O$103&gt;0,'Biodiversity Assessment'!$O$103*VLOOKUP(CONCATENATE($B17,$C17,'ESVD - Land Use &amp; Climate Match'!$A$1)&amp;"2",'ESVD - SUMMARY TABLE'!$E$2:$G$294,3,),0)+IF('Biodiversity Assessment'!$O$104&gt;0,'Biodiversity Assessment'!$O$104*VLOOKUP(CONCATENATE($B17,$C17,'ESVD - Land Use &amp; Climate Match'!$A$1)&amp;"3",'ESVD - SUMMARY TABLE'!$E$2:$G$294,3,),0)+IF('Biodiversity Assessment'!$O$105&gt;0,'Biodiversity Assessment'!$O$105*VLOOKUP(CONCATENATE($B17,$C17,'ESVD - Land Use &amp; Climate Match'!$A$1)&amp;"4",'ESVD - SUMMARY TABLE'!$E$2:$G$294,3,),0),0),IF(SUM('Biodiversity Assessment'!$AH$102:$AN$105)=SUM('Biodiversity Assessment'!$Z$102:$AF$105),IF('Biodiversity Assessment'!$AH$102&gt;0,'Biodiversity Assessment'!$AH$102*VLOOKUP(CONCATENATE($B17,$C17,'ESVD - Land Use &amp; Climate Match'!$A$11)&amp;"1",'ESVD - SUMMARY TABLE'!$E$2:$G$294,3,FALSE),0)+IF('Biodiversity Assessment'!$AH$103&gt;0,'Biodiversity Assessment'!$AH$103*VLOOKUP(CONCATENATE($B17,$C17,'ESVD - Land Use &amp; Climate Match'!$A$11)&amp;"2",'ESVD - SUMMARY TABLE'!$E$2:$G$294,3,FALSE),0)+IF('Biodiversity Assessment'!$AH$104&gt;0,'Biodiversity Assessment'!$AH$104*VLOOKUP(CONCATENATE($B17,$C17,'ESVD - Land Use &amp; Climate Match'!$A$11)&amp;"3",'ESVD - SUMMARY TABLE'!$E$2:$G$294,3,FALSE),0)+IF('Biodiversity Assessment'!$AH$105&gt;0,'Biodiversity Assessment'!$AH$105*VLOOKUP(CONCATENATE($B17,$C17,'ESVD - Land Use &amp; Climate Match'!$A$11)&amp;"4",'ESVD - SUMMARY TABLE'!$E$2:$G$294,3,FALSE),0),0),IF(SUM('Biodiversity Assessment'!$BF$102:$BF$106)=SUM('Biodiversity Assessment'!$BD$102:$BD$106),IF('Biodiversity Assessment'!$BF$102&gt;0,'Biodiversity Assessment'!$BF$102*VLOOKUP(CONCATENATE($B17,$C17,'ESVD - Land Use &amp; Climate Match'!$A$32)&amp;"1",'ESVD - SUMMARY TABLE'!$E$2:$G$294,3,FALSE),0)+IF('Biodiversity Assessment'!$BF$103&gt;0,'Biodiversity Assessment'!$BF$103*VLOOKUP(CONCATENATE($B17,$C17,'ESVD - Land Use &amp; Climate Match'!$A$32)&amp;"2",'ESVD - SUMMARY TABLE'!$E$2:$G$294,3,FALSE),0)+IF('Biodiversity Assessment'!$BF$104&gt;0,'Biodiversity Assessment'!$BF$104*VLOOKUP(CONCATENATE($B17,$C17,'ESVD - Land Use &amp; Climate Match'!$A$32)&amp;"3",'ESVD - SUMMARY TABLE'!$E$2:$G$294,3,FALSE),0)+IF('Biodiversity Assessment'!$BF$105&gt;0,'Biodiversity Assessment'!$BF$105*VLOOKUP(CONCATENATE($B17,$C17,'ESVD - Land Use &amp; Climate Match'!$A$32)&amp;"4",'ESVD - SUMMARY TABLE'!$E$2:$G$294,3,FALSE),0)+IF('Biodiversity Assessment'!$BF$106&gt;0,'Biodiversity Assessment'!$BF$106*VLOOKUP(CONCATENATE($B17,$C17,'ESVD - Land Use &amp; Climate Match'!$A$32)&amp;"5",'ESVD - SUMMARY TABLE'!$E$2:$G$294,3,FALSE),0),0))))),0)</f>
        <v>0</v>
      </c>
      <c r="W17" s="122">
        <f>'Biodiversity Assessment'!CX32</f>
        <v>0</v>
      </c>
      <c r="X17" s="122">
        <f>IFERROR(IF(W17&gt;0,W17*'Biodiversity Assessment'!$U32,IF(V17&gt;0,V17*'Biodiversity Assessment'!$U32,U17*'Biodiversity Assessment'!$U32)),0)</f>
        <v>0</v>
      </c>
      <c r="Y17" s="454"/>
      <c r="Z17" s="123">
        <f>IFERROR(IF(S17='ESVD - Land Use &amp; Climate Match'!$A$1,IF('Biodiversity Assessment'!$J$102&gt;0,'Biodiversity Assessment'!$J$102*VLOOKUP('ESVD - Social Value of Bio'!T17&amp;"1",'ESVD - SUMMARY TABLE'!$E$2:$G$294,3,),0)+IF('Biodiversity Assessment'!$J$103&gt;0,'Biodiversity Assessment'!$J$103*VLOOKUP('ESVD - Social Value of Bio'!T17&amp;"2",'ESVD - SUMMARY TABLE'!$E$2:$G$294,3,),0)+IF('Biodiversity Assessment'!$J$104&gt;0,'Biodiversity Assessment'!$J$104*VLOOKUP('ESVD - Social Value of Bio'!T17&amp;"3",'ESVD - SUMMARY TABLE'!$E$2:$G$294,3,),0)+IF('Biodiversity Assessment'!$J$105&gt;0,'Biodiversity Assessment'!$J$105*VLOOKUP('ESVD - Social Value of Bio'!T17&amp;"4",'ESVD - SUMMARY TABLE'!$E$2:$G$294,3,),0),IF(S17='ESVD - Land Use &amp; Climate Match'!$A$11,IF('Biodiversity Assessment'!$Z$102&gt;0,'Biodiversity Assessment'!$Z$102*VLOOKUP('ESVD - Social Value of Bio'!T17&amp;"1",'ESVD - SUMMARY TABLE'!$E$2:$G$294,3,FALSE),0)+IF('Biodiversity Assessment'!$Z$103&gt;0,'Biodiversity Assessment'!$Z$103*VLOOKUP('ESVD - Social Value of Bio'!T17&amp;"2",'ESVD - SUMMARY TABLE'!$E$2:$G$294,3,FALSE),0)+IF('Biodiversity Assessment'!$Z$104&gt;0,'Biodiversity Assessment'!$Z$104*VLOOKUP('ESVD - Social Value of Bio'!T17&amp;"3",'ESVD - SUMMARY TABLE'!$E$2:$G$294,3,FALSE),0)+IF('Biodiversity Assessment'!$Z$105&gt;0,'Biodiversity Assessment'!$Z$105*VLOOKUP('ESVD - Social Value of Bio'!T17&amp;"4",'ESVD - SUMMARY TABLE'!$E$2:$G$294,3,FALSE),0),IF(S17='ESVD - Land Use &amp; Climate Match'!$A$32,IF('Biodiversity Assessment'!$BD$102&gt;0,'Biodiversity Assessment'!$BD$102*VLOOKUP('ESVD - Social Value of Bio'!T17&amp;"1",'ESVD - SUMMARY TABLE'!$E$2:$G$294,3,FALSE),0)+IF('Biodiversity Assessment'!$BD$103&gt;0,'Biodiversity Assessment'!$BD$103*VLOOKUP('ESVD - Social Value of Bio'!T17&amp;"2",'ESVD - SUMMARY TABLE'!$E$2:$G$294,3,FALSE),0)+IF('Biodiversity Assessment'!$BD$104&gt;0,'Biodiversity Assessment'!$BD$104*VLOOKUP('ESVD - Social Value of Bio'!T17&amp;"3",'ESVD - SUMMARY TABLE'!$E$2:$G$294,3,FALSE),0)+IF('Biodiversity Assessment'!$BD$105&gt;0,'Biodiversity Assessment'!$BD$105*VLOOKUP('ESVD - Social Value of Bio'!T17&amp;"4",'ESVD - SUMMARY TABLE'!$E$2:$G$294,3,FALSE),0)+IF('Biodiversity Assessment'!$BD$106&gt;0,'Biodiversity Assessment'!$BD$106*VLOOKUP('ESVD - Social Value of Bio'!T17&amp;"5",'ESVD - SUMMARY TABLE'!$E$2:$G$294,3,FALSE),0),VLOOKUP('ESVD - Social Value of Bio'!T17&amp;"1",'ESVD - SUMMARY TABLE'!$E$2:$G$294,3,FALSE)))),0)</f>
        <v>0</v>
      </c>
      <c r="AA17" s="123">
        <f>IFERROR(IF(S17='ESVD - Land Use &amp; Climate Match'!$A$1,IF(SUM('Biodiversity Assessment'!$O$102:$P$105)=SUM('Biodiversity Assessment'!$J$102:$M$105),IF('Biodiversity Assessment'!$O$102&gt;0,'Biodiversity Assessment'!$O$102*VLOOKUP('ESVD - Social Value of Bio'!T17&amp;"1",'ESVD - SUMMARY TABLE'!$E$2:$G$294,3,),0)+IF('Biodiversity Assessment'!$O$103&gt;0,'Biodiversity Assessment'!$O$103*VLOOKUP('ESVD - Social Value of Bio'!T17&amp;"2",'ESVD - SUMMARY TABLE'!$E$2:$G$294,3,),0)+IF('Biodiversity Assessment'!$O$104&gt;0,'Biodiversity Assessment'!$O$104*VLOOKUP('ESVD - Social Value of Bio'!T17&amp;"3",'ESVD - SUMMARY TABLE'!$E$2:$G$294,3,),0)+IF('Biodiversity Assessment'!$O$105&gt;0,'Biodiversity Assessment'!$O$105*VLOOKUP('ESVD - Social Value of Bio'!T17&amp;"4",'ESVD - SUMMARY TABLE'!$E$2:$G$294,3,),0),0),IF(S17='ESVD - Land Use &amp; Climate Match'!$A$11,IF(SUM('Biodiversity Assessment'!$AH$102:$AN$105)=SUM('Biodiversity Assessment'!$Z$102:$AF$105),IF('Biodiversity Assessment'!$AH$102&gt;0,'Biodiversity Assessment'!$AH$102*VLOOKUP('ESVD - Social Value of Bio'!T17&amp;"1",'ESVD - SUMMARY TABLE'!$E$2:$G$294,3,FALSE),0)+IF('Biodiversity Assessment'!$AH$103&gt;0,'Biodiversity Assessment'!$AH$103*VLOOKUP('ESVD - Social Value of Bio'!T17&amp;"2",'ESVD - SUMMARY TABLE'!$E$2:$G$294,3,FALSE),0)+IF('Biodiversity Assessment'!$AH$104&gt;0,'Biodiversity Assessment'!$AH$104*VLOOKUP('ESVD - Social Value of Bio'!T17&amp;"3",'ESVD - SUMMARY TABLE'!$E$2:$G$294,3,FALSE),0)+IF('Biodiversity Assessment'!$AH$105&gt;0,'Biodiversity Assessment'!$AH$105*VLOOKUP('ESVD - Social Value of Bio'!T17&amp;"4",'ESVD - SUMMARY TABLE'!$E$2:$G$294,3,FALSE),0),0),IF(S17='ESVD - Land Use &amp; Climate Match'!$A$32,IF(SUM('Biodiversity Assessment'!$BF$102:$BF$106)=SUM('Biodiversity Assessment'!$BD$102:$BD$106),IF('Biodiversity Assessment'!$BF$102&gt;0,'Biodiversity Assessment'!$BF$102*VLOOKUP('ESVD - Social Value of Bio'!T17&amp;"1",'ESVD - SUMMARY TABLE'!$E$2:$G$294,3,FALSE),0)+IF('Biodiversity Assessment'!$BF$103&gt;0,'Biodiversity Assessment'!$BF$103*VLOOKUP('ESVD - Social Value of Bio'!T17&amp;"2",'ESVD - SUMMARY TABLE'!$E$2:$G$294,3,FALSE),0)+IF('Biodiversity Assessment'!$BF$104&gt;0,'Biodiversity Assessment'!$BF$104*VLOOKUP('ESVD - Social Value of Bio'!T17&amp;"3",'ESVD - SUMMARY TABLE'!$E$2:$G$294,3,FALSE),0)+IF('Biodiversity Assessment'!$BF$105&gt;0,'Biodiversity Assessment'!$BF$105*VLOOKUP('ESVD - Social Value of Bio'!T17&amp;"4",'ESVD - SUMMARY TABLE'!$E$2:$G$294,3,FALSE),0)+IF('Biodiversity Assessment'!$BF$106&gt;0,'Biodiversity Assessment'!$BF$106*VLOOKUP('ESVD - Social Value of Bio'!T17&amp;"5",'ESVD - SUMMARY TABLE'!$E$2:$G$294,3,FALSE),0),0),VLOOKUP('ESVD - Social Value of Bio'!T17&amp;"1",'ESVD - SUMMARY TABLE'!$E$2:$G$294,3,FALSE)))),0)</f>
        <v>0</v>
      </c>
      <c r="AB17" s="123">
        <f>'Biodiversity Assessment'!CX32</f>
        <v>0</v>
      </c>
      <c r="AC17" s="124">
        <f>IFERROR(IF(AB17&gt;0,AB17*'Biodiversity Assessment'!U32,IF(AA17&gt;0,AA17*'Biodiversity Assessment'!U32,Z17*'Biodiversity Assessment'!U32)),0)</f>
        <v>0</v>
      </c>
      <c r="AD17" s="456"/>
      <c r="AG17" s="453"/>
    </row>
    <row r="18" spans="1:33" s="110" customFormat="1" ht="10.5" x14ac:dyDescent="0.25">
      <c r="A18" s="107" t="s">
        <v>223</v>
      </c>
      <c r="B18" s="108" t="str">
        <f>IF(Start!$D$28&gt;1000,CONCATENATE(Start!$D$20," Mountain"),Start!$D$20)</f>
        <v>Please select</v>
      </c>
      <c r="C18" s="108" t="str">
        <f>Start!$D$24</f>
        <v>Please select</v>
      </c>
      <c r="D18" s="109" t="str">
        <f>'Biodiversity Assessment'!G33</f>
        <v>Select land use</v>
      </c>
      <c r="E18" s="109" t="str">
        <f>IF(OR(D18=Data!$E$4,D18=Data!$E$5,D18=Data!$E$6,D18=Data!$E$7),Data!$E$4,IF(OR(D18=Data!$E$9,D18=Data!$E$10,D18=Data!$E$11),Data!$E$9,IF(OR(D18=Data!$E$12,D18=Data!$E$13,D18=Data!$E$14),"Cropland",IF(OR(D18=Data!$E$16,D18=Data!$E$17),"Agroforestry",D18))))</f>
        <v>Select land use</v>
      </c>
      <c r="F18" s="109" t="str">
        <f t="shared" si="0"/>
        <v>Please selectPlease selectSelect land use</v>
      </c>
      <c r="G18" s="122">
        <f>IFERROR(IF(E18='ESVD - Land Use &amp; Climate Match'!$A$1,IF('Biodiversity Assessment'!$J$102&gt;0,'Biodiversity Assessment'!$J$102*VLOOKUP('ESVD - Social Value of Bio'!F18&amp;"1",'ESVD - SUMMARY TABLE'!$E$2:$G$294,3,),0)+IF('Biodiversity Assessment'!$J$103&gt;0,'Biodiversity Assessment'!$J$103*VLOOKUP('ESVD - Social Value of Bio'!F18&amp;"2",'ESVD - SUMMARY TABLE'!$E$2:$G$294,3,),0)+IF('Biodiversity Assessment'!$J$104&gt;0,'Biodiversity Assessment'!$J$104*VLOOKUP('ESVD - Social Value of Bio'!F18&amp;"3",'ESVD - SUMMARY TABLE'!$E$2:$G$294,3,),0)+IF('Biodiversity Assessment'!$J$105&gt;0,'Biodiversity Assessment'!$J$105*VLOOKUP('ESVD - Social Value of Bio'!F18&amp;"4",'ESVD - SUMMARY TABLE'!$E$2:$G$294,3,),0),IF(E18='ESVD - Land Use &amp; Climate Match'!$A$11,IF('Biodiversity Assessment'!$Z$102&gt;0,'Biodiversity Assessment'!$Z$102*VLOOKUP('ESVD - Social Value of Bio'!F18&amp;"1",'ESVD - SUMMARY TABLE'!$E$2:$G$294,3,FALSE),0)+IF('Biodiversity Assessment'!$Z$103&gt;0,'Biodiversity Assessment'!$Z$103*VLOOKUP('ESVD - Social Value of Bio'!F18&amp;"2",'ESVD - SUMMARY TABLE'!$E$2:$G$294,3,FALSE),0)+IF('Biodiversity Assessment'!$Z$104&gt;0,'Biodiversity Assessment'!$Z$104*VLOOKUP('ESVD - Social Value of Bio'!F18&amp;"3",'ESVD - SUMMARY TABLE'!$E$2:$G$294,3,FALSE),0)+IF('Biodiversity Assessment'!$Z$105&gt;0,'Biodiversity Assessment'!$Z$105*VLOOKUP('ESVD - Social Value of Bio'!F18&amp;"4",'ESVD - SUMMARY TABLE'!$E$2:$G$294,3,FALSE),0),IF(E18='ESVD - Land Use &amp; Climate Match'!$A$32,IF('Biodiversity Assessment'!$BD$102&gt;0,'Biodiversity Assessment'!$BD$102*VLOOKUP('ESVD - Social Value of Bio'!F18&amp;"1",'ESVD - SUMMARY TABLE'!$E$2:$G$294,3,FALSE),0)+IF('Biodiversity Assessment'!$BD$103&gt;0,'Biodiversity Assessment'!$BD$103*VLOOKUP('ESVD - Social Value of Bio'!F18&amp;"2",'ESVD - SUMMARY TABLE'!$E$2:$G$294,3,FALSE),0)+IF('Biodiversity Assessment'!$BD$104&gt;0,'Biodiversity Assessment'!$BD$104*VLOOKUP('ESVD - Social Value of Bio'!F18&amp;"3",'ESVD - SUMMARY TABLE'!$E$2:$G$294,3,FALSE),0)+IF('Biodiversity Assessment'!$BD$105&gt;0,'Biodiversity Assessment'!$BD$105*VLOOKUP('ESVD - Social Value of Bio'!F18&amp;"4",'ESVD - SUMMARY TABLE'!$E$2:$G$294,3,FALSE),0)+IF('Biodiversity Assessment'!$BD$106&gt;0,'Biodiversity Assessment'!$BD$106*VLOOKUP('ESVD - Social Value of Bio'!F18&amp;"5",'ESVD - SUMMARY TABLE'!$E$2:$G$294,3,FALSE),0),AVERAGE(IF('Biodiversity Assessment'!$J$102&gt;0,'Biodiversity Assessment'!$J$102*VLOOKUP(CONCATENATE($B18,$C18,'ESVD - Land Use &amp; Climate Match'!$A$1)&amp;"1",'ESVD - SUMMARY TABLE'!$E$2:$G$294,3,),0)+IF('Biodiversity Assessment'!$J$103&gt;0,'Biodiversity Assessment'!$J$103*VLOOKUP(CONCATENATE($B18,$C18,'ESVD - Land Use &amp; Climate Match'!$A$1)&amp;"2",'ESVD - SUMMARY TABLE'!$E$2:$G$294,3,),0)+IF('Biodiversity Assessment'!$J$104&gt;0,'Biodiversity Assessment'!$J$104*VLOOKUP(CONCATENATE($B18,$C18,'ESVD - Land Use &amp; Climate Match'!$A$1)&amp;"3",'ESVD - SUMMARY TABLE'!$E$2:$G$294,3,),0)+IF('Biodiversity Assessment'!$J$105&gt;0,'Biodiversity Assessment'!$J$105*VLOOKUP(CONCATENATE($B18,$C18,'ESVD - Land Use &amp; Climate Match'!$A$1)&amp;"4",'ESVD - SUMMARY TABLE'!$E$2:$G$294,3,),0),IF('Biodiversity Assessment'!$Z$102&gt;0,'Biodiversity Assessment'!$Z$102*VLOOKUP(CONCATENATE($B18,$C18,'ESVD - Land Use &amp; Climate Match'!$A$11)&amp;"1",'ESVD - SUMMARY TABLE'!$E$2:$G$294,3,FALSE),0)+IF('Biodiversity Assessment'!$Z$103&gt;0,'Biodiversity Assessment'!$Z$103*VLOOKUP(CONCATENATE($B18,$C18,'ESVD - Land Use &amp; Climate Match'!$A$11)&amp;"2",'ESVD - SUMMARY TABLE'!$E$2:$G$294,3,FALSE),0)+IF('Biodiversity Assessment'!$Z$104&gt;0,'Biodiversity Assessment'!$Z$104*VLOOKUP(CONCATENATE($B18,$C18,'ESVD - Land Use &amp; Climate Match'!$A$11)&amp;"3",'ESVD - SUMMARY TABLE'!$E$2:$G$294,3,FALSE),0)+IF('Biodiversity Assessment'!$Z$105&gt;0,'Biodiversity Assessment'!$Z$105*VLOOKUP(CONCATENATE($B18,$C18,'ESVD - Land Use &amp; Climate Match'!$A$11)&amp;"4",'ESVD - SUMMARY TABLE'!$E$2:$G$294,3,FALSE),0),IF('Biodiversity Assessment'!$BD$102&gt;0,'Biodiversity Assessment'!$BD$102*VLOOKUP(CONCATENATE($B18,$C18,'ESVD - Land Use &amp; Climate Match'!$A$32)&amp;"1",'ESVD - SUMMARY TABLE'!$E$2:$G$294,3,FALSE),0)+IF('Biodiversity Assessment'!$BD$103&gt;0,'Biodiversity Assessment'!$BD$103*VLOOKUP(CONCATENATE($B18,$C18,'ESVD - Land Use &amp; Climate Match'!$A$32)&amp;"2",'ESVD - SUMMARY TABLE'!$E$2:$G$294,3,FALSE),0)+IF('Biodiversity Assessment'!$BD$104&gt;0,'Biodiversity Assessment'!$BD$104*VLOOKUP(CONCATENATE($B18,$C18,'ESVD - Land Use &amp; Climate Match'!$A$32)&amp;"3",'ESVD - SUMMARY TABLE'!$E$2:$G$294,3,FALSE),0)+IF('Biodiversity Assessment'!$BD$105&gt;0,'Biodiversity Assessment'!$BD$105*VLOOKUP(CONCATENATE($B18,$C18,'ESVD - Land Use &amp; Climate Match'!$A$32)&amp;"4",'ESVD - SUMMARY TABLE'!$E$2:$G$294,3,FALSE),0)+IF('Biodiversity Assessment'!$BD$106&gt;0,'Biodiversity Assessment'!$BD$106*VLOOKUP(CONCATENATE($B18,$C18,'ESVD - Land Use &amp; Climate Match'!$A$32)&amp;"5",'ESVD - SUMMARY TABLE'!$E$2:$G$294,3,FALSE)))))),0)</f>
        <v>0</v>
      </c>
      <c r="H18" s="122">
        <f>IFERROR(IF(E18='ESVD - Land Use &amp; Climate Match'!$A$1,IF(SUM('Biodiversity Assessment'!$O$102:$P$105)=SUM('Biodiversity Assessment'!$J$102:$M$105),IF('Biodiversity Assessment'!$O$102&gt;0,'Biodiversity Assessment'!$O$102*VLOOKUP('ESVD - Social Value of Bio'!F18&amp;"1",'ESVD - SUMMARY TABLE'!$E$2:$G$294,3,),0)+IF('Biodiversity Assessment'!$O$103&gt;0,'Biodiversity Assessment'!$O$103*VLOOKUP('ESVD - Social Value of Bio'!F18&amp;"2",'ESVD - SUMMARY TABLE'!$E$2:$G$294,3,),0)+IF('Biodiversity Assessment'!$O$104&gt;0,'Biodiversity Assessment'!$O$104*VLOOKUP('ESVD - Social Value of Bio'!F18&amp;"3",'ESVD - SUMMARY TABLE'!$E$2:$G$294,3,),0)+IF('Biodiversity Assessment'!$O$105&gt;0,'Biodiversity Assessment'!$O$105*VLOOKUP('ESVD - Social Value of Bio'!F18&amp;"4",'ESVD - SUMMARY TABLE'!$E$2:$G$294,3,),0),0),IF(E18='ESVD - Land Use &amp; Climate Match'!$A$11,IF(SUM('Biodiversity Assessment'!$AH$102:$AN$105)=SUM('Biodiversity Assessment'!$Z$102:$AF$105),IF('Biodiversity Assessment'!$AH$102&gt;0,'Biodiversity Assessment'!$AH$102*VLOOKUP('ESVD - Social Value of Bio'!F18&amp;"1",'ESVD - SUMMARY TABLE'!$E$2:$G$294,3,FALSE),0)+IF('Biodiversity Assessment'!$AH$103&gt;0,'Biodiversity Assessment'!$AH$103*VLOOKUP('ESVD - Social Value of Bio'!F18&amp;"2",'ESVD - SUMMARY TABLE'!$E$2:$G$294,3,FALSE),0)+IF('Biodiversity Assessment'!$AH$104&gt;0,'Biodiversity Assessment'!$AH$104*VLOOKUP('ESVD - Social Value of Bio'!F18&amp;"3",'ESVD - SUMMARY TABLE'!$E$2:$G$294,3,FALSE),0)+IF('Biodiversity Assessment'!$AH$105&gt;0,'Biodiversity Assessment'!$AH$105*VLOOKUP('ESVD - Social Value of Bio'!F18&amp;"4",'ESVD - SUMMARY TABLE'!$E$2:$G$294,3,FALSE),0),0),IF(E18='ESVD - Land Use &amp; Climate Match'!$A$32,IF(SUM('Biodiversity Assessment'!$BF$102:$BF$106)=SUM('Biodiversity Assessment'!$BD$102:$BD$106),IF('Biodiversity Assessment'!$BF$102&gt;0,'Biodiversity Assessment'!$BF$102*VLOOKUP('ESVD - Social Value of Bio'!F18&amp;"1",'ESVD - SUMMARY TABLE'!$E$2:$G$294,3,FALSE),0)+IF('Biodiversity Assessment'!$BF$103&gt;0,'Biodiversity Assessment'!$BF$103*VLOOKUP('ESVD - Social Value of Bio'!F18&amp;"2",'ESVD - SUMMARY TABLE'!$E$2:$G$294,3,FALSE),0)+IF('Biodiversity Assessment'!$BF$104&gt;0,'Biodiversity Assessment'!$BF$104*VLOOKUP('ESVD - Social Value of Bio'!F18&amp;"3",'ESVD - SUMMARY TABLE'!$E$2:$G$294,3,FALSE),0)+IF('Biodiversity Assessment'!$BF$105&gt;0,'Biodiversity Assessment'!$BF$105*VLOOKUP('ESVD - Social Value of Bio'!F18&amp;"4",'ESVD - SUMMARY TABLE'!$E$2:$G$294,3,FALSE),0)+IF('Biodiversity Assessment'!$BF$106&gt;0,'Biodiversity Assessment'!$BF$106*VLOOKUP('ESVD - Social Value of Bio'!F18&amp;"5",'ESVD - SUMMARY TABLE'!$E$2:$G$294,3,FALSE),0),0),AVERAGE(IF(SUM('Biodiversity Assessment'!$O$102:$P$105)=SUM('Biodiversity Assessment'!$J$102:$M$105),IF('Biodiversity Assessment'!$O$102&gt;0,'Biodiversity Assessment'!$O$102*VLOOKUP(CONCATENATE($B18,$C18,'ESVD - Land Use &amp; Climate Match'!$A$1)&amp;"1",'ESVD - SUMMARY TABLE'!$E$2:$G$294,3,),0)+IF('Biodiversity Assessment'!$O$103&gt;0,'Biodiversity Assessment'!$O$103*VLOOKUP(CONCATENATE($B18,$C18,'ESVD - Land Use &amp; Climate Match'!$A$1)&amp;"2",'ESVD - SUMMARY TABLE'!$E$2:$G$294,3,),0)+IF('Biodiversity Assessment'!$O$104&gt;0,'Biodiversity Assessment'!$O$104*VLOOKUP(CONCATENATE($B18,$C18,'ESVD - Land Use &amp; Climate Match'!$A$1)&amp;"3",'ESVD - SUMMARY TABLE'!$E$2:$G$294,3,),0)+IF('Biodiversity Assessment'!$O$105&gt;0,'Biodiversity Assessment'!$O$105*VLOOKUP(CONCATENATE($B18,$C18,'ESVD - Land Use &amp; Climate Match'!$A$1)&amp;"4",'ESVD - SUMMARY TABLE'!$E$2:$G$294,3,),0),0),IF(SUM('Biodiversity Assessment'!$AH$102:$AN$105)=SUM('Biodiversity Assessment'!$Z$102:$AF$105),IF('Biodiversity Assessment'!$AH$102&gt;0,'Biodiversity Assessment'!$AH$102*VLOOKUP(CONCATENATE($B18,$C18,'ESVD - Land Use &amp; Climate Match'!$A$11)&amp;"1",'ESVD - SUMMARY TABLE'!$E$2:$G$294,3,FALSE),0)+IF('Biodiversity Assessment'!$AH$103&gt;0,'Biodiversity Assessment'!$AH$103*VLOOKUP(CONCATENATE($B18,$C18,'ESVD - Land Use &amp; Climate Match'!$A$11)&amp;"2",'ESVD - SUMMARY TABLE'!$E$2:$G$294,3,FALSE),0)+IF('Biodiversity Assessment'!$AH$104&gt;0,'Biodiversity Assessment'!$AH$104*VLOOKUP(CONCATENATE($B18,$C18,'ESVD - Land Use &amp; Climate Match'!$A$11)&amp;"3",'ESVD - SUMMARY TABLE'!$E$2:$G$294,3,FALSE),0)+IF('Biodiversity Assessment'!$AH$105&gt;0,'Biodiversity Assessment'!$AH$105*VLOOKUP(CONCATENATE($B18,$C18,'ESVD - Land Use &amp; Climate Match'!$A$11)&amp;"4",'ESVD - SUMMARY TABLE'!$E$2:$G$294,3,FALSE),0),0),IF(SUM('Biodiversity Assessment'!$BF$102:$BF$106)=SUM('Biodiversity Assessment'!$BD$102:$BD$106),IF('Biodiversity Assessment'!$BF$102&gt;0,'Biodiversity Assessment'!$BF$102*VLOOKUP(CONCATENATE($B18,$C18,'ESVD - Land Use &amp; Climate Match'!$A$32)&amp;"1",'ESVD - SUMMARY TABLE'!$E$2:$G$294,3,FALSE),0)+IF('Biodiversity Assessment'!$BF$103&gt;0,'Biodiversity Assessment'!$BF$103*VLOOKUP(CONCATENATE($B18,$C18,'ESVD - Land Use &amp; Climate Match'!$A$32)&amp;"2",'ESVD - SUMMARY TABLE'!$E$2:$G$294,3,FALSE),0)+IF('Biodiversity Assessment'!$BF$104&gt;0,'Biodiversity Assessment'!$BF$104*VLOOKUP(CONCATENATE($B18,$C18,'ESVD - Land Use &amp; Climate Match'!$A$32)&amp;"3",'ESVD - SUMMARY TABLE'!$E$2:$G$294,3,FALSE),0)+IF('Biodiversity Assessment'!$BF$105&gt;0,'Biodiversity Assessment'!$BF$105*VLOOKUP(CONCATENATE($B18,$C18,'ESVD - Land Use &amp; Climate Match'!$A$32)&amp;"4",'ESVD - SUMMARY TABLE'!$E$2:$G$294,3,FALSE),0)+IF('Biodiversity Assessment'!$BF$106&gt;0,'Biodiversity Assessment'!$BF$106*VLOOKUP(CONCATENATE($B18,$C18,'ESVD - Land Use &amp; Climate Match'!$A$32)&amp;"5",'ESVD - SUMMARY TABLE'!$E$2:$G$294,3,FALSE),0),0))))),0)</f>
        <v>0</v>
      </c>
      <c r="I18" s="122">
        <f>'Biodiversity Assessment'!CR33</f>
        <v>0</v>
      </c>
      <c r="J18" s="122">
        <f>IFERROR(IF(I18&gt;0,I18*'Biodiversity Assessment'!$M33,IF(H18&gt;0,H18*'Biodiversity Assessment'!$M33,G18*'Biodiversity Assessment'!$M33)),0)</f>
        <v>0</v>
      </c>
      <c r="K18" s="454"/>
      <c r="L18" s="123">
        <f>IFERROR(IF(E18='ESVD - Land Use &amp; Climate Match'!$A$1,IF('Biodiversity Assessment'!$J$102&gt;0,'Biodiversity Assessment'!$J$102*VLOOKUP('ESVD - Social Value of Bio'!F18&amp;"1",'ESVD - SUMMARY TABLE'!$E$2:$G$294,3,),0)+IF('Biodiversity Assessment'!$J$103&gt;0,'Biodiversity Assessment'!$J$103*VLOOKUP('ESVD - Social Value of Bio'!F18&amp;"2",'ESVD - SUMMARY TABLE'!$E$2:$G$294,3,),0)+IF('Biodiversity Assessment'!$J$104&gt;0,'Biodiversity Assessment'!$J$104*VLOOKUP('ESVD - Social Value of Bio'!F18&amp;"3",'ESVD - SUMMARY TABLE'!$E$2:$G$294,3,),0)+IF('Biodiversity Assessment'!$J$105&gt;0,'Biodiversity Assessment'!$J$105*VLOOKUP('ESVD - Social Value of Bio'!F18&amp;"4",'ESVD - SUMMARY TABLE'!$E$2:$G$294,3,),0),IF(E18='ESVD - Land Use &amp; Climate Match'!$A$11,IF('Biodiversity Assessment'!$Z$102&gt;0,'Biodiversity Assessment'!$Z$102*VLOOKUP('ESVD - Social Value of Bio'!F18&amp;"1",'ESVD - SUMMARY TABLE'!$E$2:$G$294,3,FALSE),0)+IF('Biodiversity Assessment'!$Z$103&gt;0,'Biodiversity Assessment'!$Z$103*VLOOKUP('ESVD - Social Value of Bio'!F18&amp;"2",'ESVD - SUMMARY TABLE'!$E$2:$G$294,3,FALSE),0)+IF('Biodiversity Assessment'!$Z$104&gt;0,'Biodiversity Assessment'!$Z$104*VLOOKUP('ESVD - Social Value of Bio'!F18&amp;"3",'ESVD - SUMMARY TABLE'!$E$2:$G$294,3,FALSE),0)+IF('Biodiversity Assessment'!$Z$105&gt;0,'Biodiversity Assessment'!$Z$105*VLOOKUP('ESVD - Social Value of Bio'!F18&amp;"4",'ESVD - SUMMARY TABLE'!$E$2:$G$294,3,FALSE),0),IF(E18='ESVD - Land Use &amp; Climate Match'!$A$32,IF('Biodiversity Assessment'!$BD$102&gt;0,'Biodiversity Assessment'!$BD$102*VLOOKUP('ESVD - Social Value of Bio'!F18&amp;"1",'ESVD - SUMMARY TABLE'!$E$2:$G$294,3,FALSE),0)+IF('Biodiversity Assessment'!$BD$103&gt;0,'Biodiversity Assessment'!$BD$103*VLOOKUP('ESVD - Social Value of Bio'!F18&amp;"2",'ESVD - SUMMARY TABLE'!$E$2:$G$294,3,FALSE),0)+IF('Biodiversity Assessment'!$BD$104&gt;0,'Biodiversity Assessment'!$BD$104*VLOOKUP('ESVD - Social Value of Bio'!F18&amp;"3",'ESVD - SUMMARY TABLE'!$E$2:$G$294,3,FALSE),0)+IF('Biodiversity Assessment'!$BD$105&gt;0,'Biodiversity Assessment'!$BD$105*VLOOKUP('ESVD - Social Value of Bio'!F18&amp;"4",'ESVD - SUMMARY TABLE'!$E$2:$G$294,3,FALSE),0)+IF('Biodiversity Assessment'!$BD$106&gt;0,'Biodiversity Assessment'!$BD$106*VLOOKUP('ESVD - Social Value of Bio'!F18&amp;"5",'ESVD - SUMMARY TABLE'!$E$2:$G$294,3,FALSE),0),VLOOKUP('ESVD - Social Value of Bio'!F18&amp;"1",'ESVD - SUMMARY TABLE'!$E$2:$G$294,3,FALSE)))),0)</f>
        <v>0</v>
      </c>
      <c r="M18" s="123">
        <f>IFERROR(IF(E18='ESVD - Land Use &amp; Climate Match'!$A$1,IF(SUM('Biodiversity Assessment'!$O$102:$P$105)=SUM('Biodiversity Assessment'!$J$102:$M$105),IF('Biodiversity Assessment'!$O$102&gt;0,'Biodiversity Assessment'!$O$102*VLOOKUP('ESVD - Social Value of Bio'!F18&amp;"1",'ESVD - SUMMARY TABLE'!$E$2:$G$294,3,),0)+IF('Biodiversity Assessment'!$O$103&gt;0,'Biodiversity Assessment'!$O$103*VLOOKUP('ESVD - Social Value of Bio'!F18&amp;"2",'ESVD - SUMMARY TABLE'!$E$2:$G$294,3,),0)+IF('Biodiversity Assessment'!$O$104&gt;0,'Biodiversity Assessment'!$O$104*VLOOKUP('ESVD - Social Value of Bio'!F18&amp;"3",'ESVD - SUMMARY TABLE'!$E$2:$G$294,3,),0)+IF('Biodiversity Assessment'!$O$105&gt;0,'Biodiversity Assessment'!$O$105*VLOOKUP('ESVD - Social Value of Bio'!F18&amp;"4",'ESVD - SUMMARY TABLE'!$E$2:$G$294,3,),0),0),IF(E18='ESVD - Land Use &amp; Climate Match'!$A$11,IF(SUM('Biodiversity Assessment'!$AH$102:$AN$105)=SUM('Biodiversity Assessment'!$Z$102:$AF$105),IF('Biodiversity Assessment'!$AH$102&gt;0,'Biodiversity Assessment'!$AH$102*VLOOKUP('ESVD - Social Value of Bio'!F18&amp;"1",'ESVD - SUMMARY TABLE'!$E$2:$G$294,3,FALSE),0)+IF('Biodiversity Assessment'!$AH$103&gt;0,'Biodiversity Assessment'!$AH$103*VLOOKUP('ESVD - Social Value of Bio'!F18&amp;"2",'ESVD - SUMMARY TABLE'!$E$2:$G$294,3,FALSE),0)+IF('Biodiversity Assessment'!$AH$104&gt;0,'Biodiversity Assessment'!$AH$104*VLOOKUP('ESVD - Social Value of Bio'!F18&amp;"3",'ESVD - SUMMARY TABLE'!$E$2:$G$294,3,FALSE),0)+IF('Biodiversity Assessment'!$AH$105&gt;0,'Biodiversity Assessment'!$AH$105*VLOOKUP('ESVD - Social Value of Bio'!F18&amp;"4",'ESVD - SUMMARY TABLE'!$E$2:$G$294,3,FALSE),0),0),IF(E18='ESVD - Land Use &amp; Climate Match'!$A$32,IF(SUM('Biodiversity Assessment'!$BF$102:$BF$106)=SUM('Biodiversity Assessment'!$BD$102:$BD$106),IF('Biodiversity Assessment'!$BF$102&gt;0,'Biodiversity Assessment'!$BF$102*VLOOKUP('ESVD - Social Value of Bio'!F18&amp;"1",'ESVD - SUMMARY TABLE'!$E$2:$G$294,3,FALSE),0)+IF('Biodiversity Assessment'!$BF$103&gt;0,'Biodiversity Assessment'!$BF$103*VLOOKUP('ESVD - Social Value of Bio'!F18&amp;"2",'ESVD - SUMMARY TABLE'!$E$2:$G$294,3,FALSE),0)+IF('Biodiversity Assessment'!$BF$104&gt;0,'Biodiversity Assessment'!$BF$104*VLOOKUP('ESVD - Social Value of Bio'!F18&amp;"3",'ESVD - SUMMARY TABLE'!$E$2:$G$294,3,FALSE),0)+IF('Biodiversity Assessment'!$BF$105&gt;0,'Biodiversity Assessment'!$BF$105*VLOOKUP('ESVD - Social Value of Bio'!F18&amp;"4",'ESVD - SUMMARY TABLE'!$E$2:$G$294,3,FALSE),0)+IF('Biodiversity Assessment'!$BF$106&gt;0,'Biodiversity Assessment'!$BF$106*VLOOKUP('ESVD - Social Value of Bio'!F18&amp;"5",'ESVD - SUMMARY TABLE'!$E$2:$G$294,3,FALSE),0),0),VLOOKUP('ESVD - Social Value of Bio'!F18&amp;"1",'ESVD - SUMMARY TABLE'!$E$2:$G$294,3,FALSE)))),0)</f>
        <v>0</v>
      </c>
      <c r="N18" s="123">
        <f>'Biodiversity Assessment'!CR33</f>
        <v>0</v>
      </c>
      <c r="O18" s="124">
        <f>IFERROR(IF(N18&gt;0,N18*'Biodiversity Assessment'!M33,IF(M18&gt;0,M18*'Biodiversity Assessment'!M33,L18*'Biodiversity Assessment'!M33)),0)</f>
        <v>0</v>
      </c>
      <c r="P18" s="456"/>
      <c r="R18" s="108" t="str">
        <f>'Biodiversity Assessment'!O33</f>
        <v>Select land use</v>
      </c>
      <c r="S18" s="109" t="str">
        <f>IF(OR(R18=Data!$E$4,R18=Data!$E$5,R18=Data!$E$6,R18=Data!$E$7),Data!$E$4,IF(OR(R18=Data!$E$9,R18=Data!$E$10,R18=Data!$E$11),Data!$E$9,IF(OR(R18=Data!$E$12,R18=Data!$E$13,R18=Data!$E$14),"Cropland",IF(OR(R18=Data!$E$16,R18=Data!$E$17),"Agroforestry",R18))))</f>
        <v>Select land use</v>
      </c>
      <c r="T18" s="109" t="str">
        <f t="shared" si="1"/>
        <v>Please selectPlease selectSelect land use</v>
      </c>
      <c r="U18" s="122">
        <f>IFERROR(IF(S18='ESVD - Land Use &amp; Climate Match'!$A$1,IF('Biodiversity Assessment'!$J$102&gt;0,'Biodiversity Assessment'!$J$102*VLOOKUP('ESVD - Social Value of Bio'!T18&amp;"1",'ESVD - SUMMARY TABLE'!$E$2:$G$294,3,),0)+IF('Biodiversity Assessment'!$J$103&gt;0,'Biodiversity Assessment'!$J$103*VLOOKUP('ESVD - Social Value of Bio'!T18&amp;"2",'ESVD - SUMMARY TABLE'!$E$2:$G$294,3,),0)+IF('Biodiversity Assessment'!$J$104&gt;0,'Biodiversity Assessment'!$J$104*VLOOKUP('ESVD - Social Value of Bio'!T18&amp;"3",'ESVD - SUMMARY TABLE'!$E$2:$G$294,3,),0)+IF('Biodiversity Assessment'!$J$105&gt;0,'Biodiversity Assessment'!$J$105*VLOOKUP('ESVD - Social Value of Bio'!T18&amp;"4",'ESVD - SUMMARY TABLE'!$E$2:$G$294,3,),0),IF(S18='ESVD - Land Use &amp; Climate Match'!$A$11,IF('Biodiversity Assessment'!$Z$102&gt;0,'Biodiversity Assessment'!$Z$102*VLOOKUP('ESVD - Social Value of Bio'!T18&amp;"1",'ESVD - SUMMARY TABLE'!$E$2:$G$294,3,FALSE),0)+IF('Biodiversity Assessment'!$Z$103&gt;0,'Biodiversity Assessment'!$Z$103*VLOOKUP('ESVD - Social Value of Bio'!T18&amp;"2",'ESVD - SUMMARY TABLE'!$E$2:$G$294,3,FALSE),0)+IF('Biodiversity Assessment'!$Z$104&gt;0,'Biodiversity Assessment'!$Z$104*VLOOKUP('ESVD - Social Value of Bio'!T18&amp;"3",'ESVD - SUMMARY TABLE'!$E$2:$G$294,3,FALSE),0)+IF('Biodiversity Assessment'!$Z$105&gt;0,'Biodiversity Assessment'!$Z$105*VLOOKUP('ESVD - Social Value of Bio'!T18&amp;"4",'ESVD - SUMMARY TABLE'!$E$2:$G$294,3,FALSE),0),IF(S18='ESVD - Land Use &amp; Climate Match'!$A$32,IF('Biodiversity Assessment'!$BD$102&gt;0,'Biodiversity Assessment'!$BD$102*VLOOKUP('ESVD - Social Value of Bio'!T18&amp;"1",'ESVD - SUMMARY TABLE'!$E$2:$G$294,3,FALSE),0)+IF('Biodiversity Assessment'!$BD$103&gt;0,'Biodiversity Assessment'!$BD$103*VLOOKUP('ESVD - Social Value of Bio'!T18&amp;"2",'ESVD - SUMMARY TABLE'!$E$2:$G$294,3,FALSE),0)+IF('Biodiversity Assessment'!$BD$104&gt;0,'Biodiversity Assessment'!$BD$104*VLOOKUP('ESVD - Social Value of Bio'!T18&amp;"3",'ESVD - SUMMARY TABLE'!$E$2:$G$294,3,FALSE),0)+IF('Biodiversity Assessment'!$BD$105&gt;0,'Biodiversity Assessment'!$BD$105*VLOOKUP('ESVD - Social Value of Bio'!T18&amp;"4",'ESVD - SUMMARY TABLE'!$E$2:$G$294,3,FALSE),0)+IF('Biodiversity Assessment'!$BD$106&gt;0,'Biodiversity Assessment'!$BD$106*VLOOKUP('ESVD - Social Value of Bio'!T18&amp;"5",'ESVD - SUMMARY TABLE'!$E$2:$G$294,3,FALSE),0),AVERAGE(IF('Biodiversity Assessment'!$J$102&gt;0,'Biodiversity Assessment'!$J$102*VLOOKUP(CONCATENATE(B18,C18,'ESVD - Land Use &amp; Climate Match'!$A$1)&amp;"1",'ESVD - SUMMARY TABLE'!$E$2:$G$294,3,),0)+IF('Biodiversity Assessment'!$J$103&gt;0,'Biodiversity Assessment'!$J$103*VLOOKUP(CONCATENATE(B18,C18,'ESVD - Land Use &amp; Climate Match'!$A$1)&amp;"2",'ESVD - SUMMARY TABLE'!$E$2:$G$294,3,),0)+IF('Biodiversity Assessment'!$J$104&gt;0,'Biodiversity Assessment'!$J$104*VLOOKUP(CONCATENATE(B18,C18,'ESVD - Land Use &amp; Climate Match'!$A$1)&amp;"3",'ESVD - SUMMARY TABLE'!$E$2:$G$294,3,),0)+IF('Biodiversity Assessment'!$J$105&gt;0,'Biodiversity Assessment'!$J$105*VLOOKUP(CONCATENATE(B18,C18,'ESVD - Land Use &amp; Climate Match'!$A$1)&amp;"4",'ESVD - SUMMARY TABLE'!$E$2:$G$294,3,),0),IF('Biodiversity Assessment'!$Z$102&gt;0,'Biodiversity Assessment'!$Z$102*VLOOKUP(CONCATENATE(B18,C18,'ESVD - Land Use &amp; Climate Match'!$A$11)&amp;"1",'ESVD - SUMMARY TABLE'!$E$2:$G$294,3,FALSE),0)+IF('Biodiversity Assessment'!$Z$103&gt;0,'Biodiversity Assessment'!$Z$103*VLOOKUP(CONCATENATE(B18,C18,'ESVD - Land Use &amp; Climate Match'!$A$11)&amp;"2",'ESVD - SUMMARY TABLE'!$E$2:$G$294,3,FALSE),0)+IF('Biodiversity Assessment'!$Z$104&gt;0,'Biodiversity Assessment'!$Z$104*VLOOKUP(CONCATENATE(B18,C18,'ESVD - Land Use &amp; Climate Match'!$A$11)&amp;"3",'ESVD - SUMMARY TABLE'!$E$2:$G$294,3,FALSE),0)+IF('Biodiversity Assessment'!$Z$105&gt;0,'Biodiversity Assessment'!$Z$105*VLOOKUP(CONCATENATE(B18,C18,'ESVD - Land Use &amp; Climate Match'!$A$11)&amp;"4",'ESVD - SUMMARY TABLE'!$E$2:$G$294,3,FALSE),0),IF('Biodiversity Assessment'!$BD$102&gt;0,'Biodiversity Assessment'!$BD$102*VLOOKUP(CONCATENATE(B18,C18,'ESVD - Land Use &amp; Climate Match'!$A$32)&amp;"1",'ESVD - SUMMARY TABLE'!$E$2:$G$294,3,FALSE),0)+IF('Biodiversity Assessment'!$BD$103&gt;0,'Biodiversity Assessment'!$BD$103*VLOOKUP(CONCATENATE(B18,C18,'ESVD - Land Use &amp; Climate Match'!$A$32)&amp;"2",'ESVD - SUMMARY TABLE'!$E$2:$G$294,3,FALSE),0)+IF('Biodiversity Assessment'!$BD$104&gt;0,'Biodiversity Assessment'!$BD$104*VLOOKUP(CONCATENATE(B18,C18,'ESVD - Land Use &amp; Climate Match'!$A$32)&amp;"3",'ESVD - SUMMARY TABLE'!$E$2:$G$294,3,FALSE),0)+IF('Biodiversity Assessment'!$BD$105&gt;0,'Biodiversity Assessment'!$BD$105*VLOOKUP(CONCATENATE(B18,C18,'ESVD - Land Use &amp; Climate Match'!$A$32)&amp;"4",'ESVD - SUMMARY TABLE'!$E$2:$G$294,3,FALSE),0)+IF('Biodiversity Assessment'!$BD$106&gt;0,'Biodiversity Assessment'!$BD$106*VLOOKUP(CONCATENATE(B18,C18,'ESVD - Land Use &amp; Climate Match'!$A$32)&amp;"5",'ESVD - SUMMARY TABLE'!$E$2:$G$294,3,FALSE)))))),0)</f>
        <v>0</v>
      </c>
      <c r="V18" s="122">
        <f>IFERROR(IF(S18='ESVD - Land Use &amp; Climate Match'!$A$1,IF(SUM('Biodiversity Assessment'!$O$102:$P$105)=SUM('Biodiversity Assessment'!$J$102:$M$105),IF('Biodiversity Assessment'!$O$102&gt;0,'Biodiversity Assessment'!$O$102*VLOOKUP('ESVD - Social Value of Bio'!T18&amp;"1",'ESVD - SUMMARY TABLE'!$E$2:$G$294,3,),0)+IF('Biodiversity Assessment'!$O$103&gt;0,'Biodiversity Assessment'!$O$103*VLOOKUP('ESVD - Social Value of Bio'!T18&amp;"2",'ESVD - SUMMARY TABLE'!$E$2:$G$294,3,),0)+IF('Biodiversity Assessment'!$O$104&gt;0,'Biodiversity Assessment'!$O$104*VLOOKUP('ESVD - Social Value of Bio'!T18&amp;"3",'ESVD - SUMMARY TABLE'!$E$2:$G$294,3,),0)+IF('Biodiversity Assessment'!$O$105&gt;0,'Biodiversity Assessment'!$O$105*VLOOKUP('ESVD - Social Value of Bio'!T18&amp;"4",'ESVD - SUMMARY TABLE'!$E$2:$G$294,3,),0),0),IF(S18='ESVD - Land Use &amp; Climate Match'!$A$11,IF(SUM('Biodiversity Assessment'!$AH$102:$AN$105)=SUM('Biodiversity Assessment'!$Z$102:$AF$105),IF('Biodiversity Assessment'!$AH$102&gt;0,'Biodiversity Assessment'!$AH$102*VLOOKUP('ESVD - Social Value of Bio'!T18&amp;"1",'ESVD - SUMMARY TABLE'!$E$2:$G$294,3,FALSE),0)+IF('Biodiversity Assessment'!$AH$103&gt;0,'Biodiversity Assessment'!$AH$103*VLOOKUP('ESVD - Social Value of Bio'!T18&amp;"2",'ESVD - SUMMARY TABLE'!$E$2:$G$294,3,FALSE),0)+IF('Biodiversity Assessment'!$AH$104&gt;0,'Biodiversity Assessment'!$AH$104*VLOOKUP('ESVD - Social Value of Bio'!T18&amp;"3",'ESVD - SUMMARY TABLE'!$E$2:$G$294,3,FALSE),0)+IF('Biodiversity Assessment'!$AH$105&gt;0,'Biodiversity Assessment'!$AH$105*VLOOKUP('ESVD - Social Value of Bio'!T18&amp;"4",'ESVD - SUMMARY TABLE'!$E$2:$G$294,3,FALSE),0),0),IF(S18='ESVD - Land Use &amp; Climate Match'!$A$32,IF(SUM('Biodiversity Assessment'!$BF$102:$BF$106)=SUM('Biodiversity Assessment'!$BD$102:$BD$106),IF('Biodiversity Assessment'!$BF$102&gt;0,'Biodiversity Assessment'!$BF$102*VLOOKUP('ESVD - Social Value of Bio'!T18&amp;"1",'ESVD - SUMMARY TABLE'!$E$2:$G$294,3,FALSE),0)+IF('Biodiversity Assessment'!$BF$103&gt;0,'Biodiversity Assessment'!$BF$103*VLOOKUP('ESVD - Social Value of Bio'!T18&amp;"2",'ESVD - SUMMARY TABLE'!$E$2:$G$294,3,FALSE),0)+IF('Biodiversity Assessment'!$BF$104&gt;0,'Biodiversity Assessment'!$BF$104*VLOOKUP('ESVD - Social Value of Bio'!T18&amp;"3",'ESVD - SUMMARY TABLE'!$E$2:$G$294,3,FALSE),0)+IF('Biodiversity Assessment'!$BF$105&gt;0,'Biodiversity Assessment'!$BF$105*VLOOKUP('ESVD - Social Value of Bio'!T18&amp;"4",'ESVD - SUMMARY TABLE'!$E$2:$G$294,3,FALSE),0)+IF('Biodiversity Assessment'!$BF$106&gt;0,'Biodiversity Assessment'!$BF$106*VLOOKUP('ESVD - Social Value of Bio'!T18&amp;"5",'ESVD - SUMMARY TABLE'!$E$2:$G$294,3,FALSE),0),0),AVERAGE(IF(SUM('Biodiversity Assessment'!$O$102:$P$105)=SUM('Biodiversity Assessment'!$J$102:$M$105),IF('Biodiversity Assessment'!$O$102&gt;0,'Biodiversity Assessment'!$O$102*VLOOKUP(CONCATENATE($B18,$C18,'ESVD - Land Use &amp; Climate Match'!$A$1)&amp;"1",'ESVD - SUMMARY TABLE'!$E$2:$G$294,3,),0)+IF('Biodiversity Assessment'!$O$103&gt;0,'Biodiversity Assessment'!$O$103*VLOOKUP(CONCATENATE($B18,$C18,'ESVD - Land Use &amp; Climate Match'!$A$1)&amp;"2",'ESVD - SUMMARY TABLE'!$E$2:$G$294,3,),0)+IF('Biodiversity Assessment'!$O$104&gt;0,'Biodiversity Assessment'!$O$104*VLOOKUP(CONCATENATE($B18,$C18,'ESVD - Land Use &amp; Climate Match'!$A$1)&amp;"3",'ESVD - SUMMARY TABLE'!$E$2:$G$294,3,),0)+IF('Biodiversity Assessment'!$O$105&gt;0,'Biodiversity Assessment'!$O$105*VLOOKUP(CONCATENATE($B18,$C18,'ESVD - Land Use &amp; Climate Match'!$A$1)&amp;"4",'ESVD - SUMMARY TABLE'!$E$2:$G$294,3,),0),0),IF(SUM('Biodiversity Assessment'!$AH$102:$AN$105)=SUM('Biodiversity Assessment'!$Z$102:$AF$105),IF('Biodiversity Assessment'!$AH$102&gt;0,'Biodiversity Assessment'!$AH$102*VLOOKUP(CONCATENATE($B18,$C18,'ESVD - Land Use &amp; Climate Match'!$A$11)&amp;"1",'ESVD - SUMMARY TABLE'!$E$2:$G$294,3,FALSE),0)+IF('Biodiversity Assessment'!$AH$103&gt;0,'Biodiversity Assessment'!$AH$103*VLOOKUP(CONCATENATE($B18,$C18,'ESVD - Land Use &amp; Climate Match'!$A$11)&amp;"2",'ESVD - SUMMARY TABLE'!$E$2:$G$294,3,FALSE),0)+IF('Biodiversity Assessment'!$AH$104&gt;0,'Biodiversity Assessment'!$AH$104*VLOOKUP(CONCATENATE($B18,$C18,'ESVD - Land Use &amp; Climate Match'!$A$11)&amp;"3",'ESVD - SUMMARY TABLE'!$E$2:$G$294,3,FALSE),0)+IF('Biodiversity Assessment'!$AH$105&gt;0,'Biodiversity Assessment'!$AH$105*VLOOKUP(CONCATENATE($B18,$C18,'ESVD - Land Use &amp; Climate Match'!$A$11)&amp;"4",'ESVD - SUMMARY TABLE'!$E$2:$G$294,3,FALSE),0),0),IF(SUM('Biodiversity Assessment'!$BF$102:$BF$106)=SUM('Biodiversity Assessment'!$BD$102:$BD$106),IF('Biodiversity Assessment'!$BF$102&gt;0,'Biodiversity Assessment'!$BF$102*VLOOKUP(CONCATENATE($B18,$C18,'ESVD - Land Use &amp; Climate Match'!$A$32)&amp;"1",'ESVD - SUMMARY TABLE'!$E$2:$G$294,3,FALSE),0)+IF('Biodiversity Assessment'!$BF$103&gt;0,'Biodiversity Assessment'!$BF$103*VLOOKUP(CONCATENATE($B18,$C18,'ESVD - Land Use &amp; Climate Match'!$A$32)&amp;"2",'ESVD - SUMMARY TABLE'!$E$2:$G$294,3,FALSE),0)+IF('Biodiversity Assessment'!$BF$104&gt;0,'Biodiversity Assessment'!$BF$104*VLOOKUP(CONCATENATE($B18,$C18,'ESVD - Land Use &amp; Climate Match'!$A$32)&amp;"3",'ESVD - SUMMARY TABLE'!$E$2:$G$294,3,FALSE),0)+IF('Biodiversity Assessment'!$BF$105&gt;0,'Biodiversity Assessment'!$BF$105*VLOOKUP(CONCATENATE($B18,$C18,'ESVD - Land Use &amp; Climate Match'!$A$32)&amp;"4",'ESVD - SUMMARY TABLE'!$E$2:$G$294,3,FALSE),0)+IF('Biodiversity Assessment'!$BF$106&gt;0,'Biodiversity Assessment'!$BF$106*VLOOKUP(CONCATENATE($B18,$C18,'ESVD - Land Use &amp; Climate Match'!$A$32)&amp;"5",'ESVD - SUMMARY TABLE'!$E$2:$G$294,3,FALSE),0),0))))),0)</f>
        <v>0</v>
      </c>
      <c r="W18" s="122">
        <f>'Biodiversity Assessment'!CX33</f>
        <v>0</v>
      </c>
      <c r="X18" s="122">
        <f>IFERROR(IF(W18&gt;0,W18*'Biodiversity Assessment'!$U33,IF(V18&gt;0,V18*'Biodiversity Assessment'!$U33,U18*'Biodiversity Assessment'!$U33)),0)</f>
        <v>0</v>
      </c>
      <c r="Y18" s="454"/>
      <c r="Z18" s="123">
        <f>IFERROR(IF(S18='ESVD - Land Use &amp; Climate Match'!$A$1,IF('Biodiversity Assessment'!$J$102&gt;0,'Biodiversity Assessment'!$J$102*VLOOKUP('ESVD - Social Value of Bio'!T18&amp;"1",'ESVD - SUMMARY TABLE'!$E$2:$G$294,3,),0)+IF('Biodiversity Assessment'!$J$103&gt;0,'Biodiversity Assessment'!$J$103*VLOOKUP('ESVD - Social Value of Bio'!T18&amp;"2",'ESVD - SUMMARY TABLE'!$E$2:$G$294,3,),0)+IF('Biodiversity Assessment'!$J$104&gt;0,'Biodiversity Assessment'!$J$104*VLOOKUP('ESVD - Social Value of Bio'!T18&amp;"3",'ESVD - SUMMARY TABLE'!$E$2:$G$294,3,),0)+IF('Biodiversity Assessment'!$J$105&gt;0,'Biodiversity Assessment'!$J$105*VLOOKUP('ESVD - Social Value of Bio'!T18&amp;"4",'ESVD - SUMMARY TABLE'!$E$2:$G$294,3,),0),IF(S18='ESVD - Land Use &amp; Climate Match'!$A$11,IF('Biodiversity Assessment'!$Z$102&gt;0,'Biodiversity Assessment'!$Z$102*VLOOKUP('ESVD - Social Value of Bio'!T18&amp;"1",'ESVD - SUMMARY TABLE'!$E$2:$G$294,3,FALSE),0)+IF('Biodiversity Assessment'!$Z$103&gt;0,'Biodiversity Assessment'!$Z$103*VLOOKUP('ESVD - Social Value of Bio'!T18&amp;"2",'ESVD - SUMMARY TABLE'!$E$2:$G$294,3,FALSE),0)+IF('Biodiversity Assessment'!$Z$104&gt;0,'Biodiversity Assessment'!$Z$104*VLOOKUP('ESVD - Social Value of Bio'!T18&amp;"3",'ESVD - SUMMARY TABLE'!$E$2:$G$294,3,FALSE),0)+IF('Biodiversity Assessment'!$Z$105&gt;0,'Biodiversity Assessment'!$Z$105*VLOOKUP('ESVD - Social Value of Bio'!T18&amp;"4",'ESVD - SUMMARY TABLE'!$E$2:$G$294,3,FALSE),0),IF(S18='ESVD - Land Use &amp; Climate Match'!$A$32,IF('Biodiversity Assessment'!$BD$102&gt;0,'Biodiversity Assessment'!$BD$102*VLOOKUP('ESVD - Social Value of Bio'!T18&amp;"1",'ESVD - SUMMARY TABLE'!$E$2:$G$294,3,FALSE),0)+IF('Biodiversity Assessment'!$BD$103&gt;0,'Biodiversity Assessment'!$BD$103*VLOOKUP('ESVD - Social Value of Bio'!T18&amp;"2",'ESVD - SUMMARY TABLE'!$E$2:$G$294,3,FALSE),0)+IF('Biodiversity Assessment'!$BD$104&gt;0,'Biodiversity Assessment'!$BD$104*VLOOKUP('ESVD - Social Value of Bio'!T18&amp;"3",'ESVD - SUMMARY TABLE'!$E$2:$G$294,3,FALSE),0)+IF('Biodiversity Assessment'!$BD$105&gt;0,'Biodiversity Assessment'!$BD$105*VLOOKUP('ESVD - Social Value of Bio'!T18&amp;"4",'ESVD - SUMMARY TABLE'!$E$2:$G$294,3,FALSE),0)+IF('Biodiversity Assessment'!$BD$106&gt;0,'Biodiversity Assessment'!$BD$106*VLOOKUP('ESVD - Social Value of Bio'!T18&amp;"5",'ESVD - SUMMARY TABLE'!$E$2:$G$294,3,FALSE),0),VLOOKUP('ESVD - Social Value of Bio'!T18&amp;"1",'ESVD - SUMMARY TABLE'!$E$2:$G$294,3,FALSE)))),0)</f>
        <v>0</v>
      </c>
      <c r="AA18" s="123">
        <f>IFERROR(IF(S18='ESVD - Land Use &amp; Climate Match'!$A$1,IF(SUM('Biodiversity Assessment'!$O$102:$P$105)=SUM('Biodiversity Assessment'!$J$102:$M$105),IF('Biodiversity Assessment'!$O$102&gt;0,'Biodiversity Assessment'!$O$102*VLOOKUP('ESVD - Social Value of Bio'!T18&amp;"1",'ESVD - SUMMARY TABLE'!$E$2:$G$294,3,),0)+IF('Biodiversity Assessment'!$O$103&gt;0,'Biodiversity Assessment'!$O$103*VLOOKUP('ESVD - Social Value of Bio'!T18&amp;"2",'ESVD - SUMMARY TABLE'!$E$2:$G$294,3,),0)+IF('Biodiversity Assessment'!$O$104&gt;0,'Biodiversity Assessment'!$O$104*VLOOKUP('ESVD - Social Value of Bio'!T18&amp;"3",'ESVD - SUMMARY TABLE'!$E$2:$G$294,3,),0)+IF('Biodiversity Assessment'!$O$105&gt;0,'Biodiversity Assessment'!$O$105*VLOOKUP('ESVD - Social Value of Bio'!T18&amp;"4",'ESVD - SUMMARY TABLE'!$E$2:$G$294,3,),0),0),IF(S18='ESVD - Land Use &amp; Climate Match'!$A$11,IF(SUM('Biodiversity Assessment'!$AH$102:$AN$105)=SUM('Biodiversity Assessment'!$Z$102:$AF$105),IF('Biodiversity Assessment'!$AH$102&gt;0,'Biodiversity Assessment'!$AH$102*VLOOKUP('ESVD - Social Value of Bio'!T18&amp;"1",'ESVD - SUMMARY TABLE'!$E$2:$G$294,3,FALSE),0)+IF('Biodiversity Assessment'!$AH$103&gt;0,'Biodiversity Assessment'!$AH$103*VLOOKUP('ESVD - Social Value of Bio'!T18&amp;"2",'ESVD - SUMMARY TABLE'!$E$2:$G$294,3,FALSE),0)+IF('Biodiversity Assessment'!$AH$104&gt;0,'Biodiversity Assessment'!$AH$104*VLOOKUP('ESVD - Social Value of Bio'!T18&amp;"3",'ESVD - SUMMARY TABLE'!$E$2:$G$294,3,FALSE),0)+IF('Biodiversity Assessment'!$AH$105&gt;0,'Biodiversity Assessment'!$AH$105*VLOOKUP('ESVD - Social Value of Bio'!T18&amp;"4",'ESVD - SUMMARY TABLE'!$E$2:$G$294,3,FALSE),0),0),IF(S18='ESVD - Land Use &amp; Climate Match'!$A$32,IF(SUM('Biodiversity Assessment'!$BF$102:$BF$106)=SUM('Biodiversity Assessment'!$BD$102:$BD$106),IF('Biodiversity Assessment'!$BF$102&gt;0,'Biodiversity Assessment'!$BF$102*VLOOKUP('ESVD - Social Value of Bio'!T18&amp;"1",'ESVD - SUMMARY TABLE'!$E$2:$G$294,3,FALSE),0)+IF('Biodiversity Assessment'!$BF$103&gt;0,'Biodiversity Assessment'!$BF$103*VLOOKUP('ESVD - Social Value of Bio'!T18&amp;"2",'ESVD - SUMMARY TABLE'!$E$2:$G$294,3,FALSE),0)+IF('Biodiversity Assessment'!$BF$104&gt;0,'Biodiversity Assessment'!$BF$104*VLOOKUP('ESVD - Social Value of Bio'!T18&amp;"3",'ESVD - SUMMARY TABLE'!$E$2:$G$294,3,FALSE),0)+IF('Biodiversity Assessment'!$BF$105&gt;0,'Biodiversity Assessment'!$BF$105*VLOOKUP('ESVD - Social Value of Bio'!T18&amp;"4",'ESVD - SUMMARY TABLE'!$E$2:$G$294,3,FALSE),0)+IF('Biodiversity Assessment'!$BF$106&gt;0,'Biodiversity Assessment'!$BF$106*VLOOKUP('ESVD - Social Value of Bio'!T18&amp;"5",'ESVD - SUMMARY TABLE'!$E$2:$G$294,3,FALSE),0),0),VLOOKUP('ESVD - Social Value of Bio'!T18&amp;"1",'ESVD - SUMMARY TABLE'!$E$2:$G$294,3,FALSE)))),0)</f>
        <v>0</v>
      </c>
      <c r="AB18" s="123">
        <f>'Biodiversity Assessment'!CX33</f>
        <v>0</v>
      </c>
      <c r="AC18" s="124">
        <f>IFERROR(IF(AB18&gt;0,AB18*'Biodiversity Assessment'!U33,IF(AA18&gt;0,AA18*'Biodiversity Assessment'!U33,Z18*'Biodiversity Assessment'!U33)),0)</f>
        <v>0</v>
      </c>
      <c r="AD18" s="456"/>
      <c r="AG18" s="453"/>
    </row>
    <row r="19" spans="1:33" s="110" customFormat="1" ht="10.5" x14ac:dyDescent="0.25">
      <c r="A19" s="107" t="s">
        <v>224</v>
      </c>
      <c r="B19" s="108" t="str">
        <f>IF(Start!$D$28&gt;1000,CONCATENATE(Start!$D$20," Mountain"),Start!$D$20)</f>
        <v>Please select</v>
      </c>
      <c r="C19" s="108" t="str">
        <f>Start!$D$24</f>
        <v>Please select</v>
      </c>
      <c r="D19" s="109" t="str">
        <f>'Biodiversity Assessment'!G34</f>
        <v>Select land use</v>
      </c>
      <c r="E19" s="109" t="str">
        <f>IF(OR(D19=Data!$E$4,D19=Data!$E$5,D19=Data!$E$6,D19=Data!$E$7),Data!$E$4,IF(OR(D19=Data!$E$9,D19=Data!$E$10,D19=Data!$E$11),Data!$E$9,IF(OR(D19=Data!$E$12,D19=Data!$E$13,D19=Data!$E$14),"Cropland",IF(OR(D19=Data!$E$16,D19=Data!$E$17),"Agroforestry",D19))))</f>
        <v>Select land use</v>
      </c>
      <c r="F19" s="109" t="str">
        <f t="shared" si="0"/>
        <v>Please selectPlease selectSelect land use</v>
      </c>
      <c r="G19" s="122">
        <f>IFERROR(IF(E19='ESVD - Land Use &amp; Climate Match'!$A$1,IF('Biodiversity Assessment'!$J$102&gt;0,'Biodiversity Assessment'!$J$102*VLOOKUP('ESVD - Social Value of Bio'!F19&amp;"1",'ESVD - SUMMARY TABLE'!$E$2:$G$294,3,),0)+IF('Biodiversity Assessment'!$J$103&gt;0,'Biodiversity Assessment'!$J$103*VLOOKUP('ESVD - Social Value of Bio'!F19&amp;"2",'ESVD - SUMMARY TABLE'!$E$2:$G$294,3,),0)+IF('Biodiversity Assessment'!$J$104&gt;0,'Biodiversity Assessment'!$J$104*VLOOKUP('ESVD - Social Value of Bio'!F19&amp;"3",'ESVD - SUMMARY TABLE'!$E$2:$G$294,3,),0)+IF('Biodiversity Assessment'!$J$105&gt;0,'Biodiversity Assessment'!$J$105*VLOOKUP('ESVD - Social Value of Bio'!F19&amp;"4",'ESVD - SUMMARY TABLE'!$E$2:$G$294,3,),0),IF(E19='ESVD - Land Use &amp; Climate Match'!$A$11,IF('Biodiversity Assessment'!$Z$102&gt;0,'Biodiversity Assessment'!$Z$102*VLOOKUP('ESVD - Social Value of Bio'!F19&amp;"1",'ESVD - SUMMARY TABLE'!$E$2:$G$294,3,FALSE),0)+IF('Biodiversity Assessment'!$Z$103&gt;0,'Biodiversity Assessment'!$Z$103*VLOOKUP('ESVD - Social Value of Bio'!F19&amp;"2",'ESVD - SUMMARY TABLE'!$E$2:$G$294,3,FALSE),0)+IF('Biodiversity Assessment'!$Z$104&gt;0,'Biodiversity Assessment'!$Z$104*VLOOKUP('ESVD - Social Value of Bio'!F19&amp;"3",'ESVD - SUMMARY TABLE'!$E$2:$G$294,3,FALSE),0)+IF('Biodiversity Assessment'!$Z$105&gt;0,'Biodiversity Assessment'!$Z$105*VLOOKUP('ESVD - Social Value of Bio'!F19&amp;"4",'ESVD - SUMMARY TABLE'!$E$2:$G$294,3,FALSE),0),IF(E19='ESVD - Land Use &amp; Climate Match'!$A$32,IF('Biodiversity Assessment'!$BD$102&gt;0,'Biodiversity Assessment'!$BD$102*VLOOKUP('ESVD - Social Value of Bio'!F19&amp;"1",'ESVD - SUMMARY TABLE'!$E$2:$G$294,3,FALSE),0)+IF('Biodiversity Assessment'!$BD$103&gt;0,'Biodiversity Assessment'!$BD$103*VLOOKUP('ESVD - Social Value of Bio'!F19&amp;"2",'ESVD - SUMMARY TABLE'!$E$2:$G$294,3,FALSE),0)+IF('Biodiversity Assessment'!$BD$104&gt;0,'Biodiversity Assessment'!$BD$104*VLOOKUP('ESVD - Social Value of Bio'!F19&amp;"3",'ESVD - SUMMARY TABLE'!$E$2:$G$294,3,FALSE),0)+IF('Biodiversity Assessment'!$BD$105&gt;0,'Biodiversity Assessment'!$BD$105*VLOOKUP('ESVD - Social Value of Bio'!F19&amp;"4",'ESVD - SUMMARY TABLE'!$E$2:$G$294,3,FALSE),0)+IF('Biodiversity Assessment'!$BD$106&gt;0,'Biodiversity Assessment'!$BD$106*VLOOKUP('ESVD - Social Value of Bio'!F19&amp;"5",'ESVD - SUMMARY TABLE'!$E$2:$G$294,3,FALSE),0),AVERAGE(IF('Biodiversity Assessment'!$J$102&gt;0,'Biodiversity Assessment'!$J$102*VLOOKUP(CONCATENATE($B19,$C19,'ESVD - Land Use &amp; Climate Match'!$A$1)&amp;"1",'ESVD - SUMMARY TABLE'!$E$2:$G$294,3,),0)+IF('Biodiversity Assessment'!$J$103&gt;0,'Biodiversity Assessment'!$J$103*VLOOKUP(CONCATENATE($B19,$C19,'ESVD - Land Use &amp; Climate Match'!$A$1)&amp;"2",'ESVD - SUMMARY TABLE'!$E$2:$G$294,3,),0)+IF('Biodiversity Assessment'!$J$104&gt;0,'Biodiversity Assessment'!$J$104*VLOOKUP(CONCATENATE($B19,$C19,'ESVD - Land Use &amp; Climate Match'!$A$1)&amp;"3",'ESVD - SUMMARY TABLE'!$E$2:$G$294,3,),0)+IF('Biodiversity Assessment'!$J$105&gt;0,'Biodiversity Assessment'!$J$105*VLOOKUP(CONCATENATE($B19,$C19,'ESVD - Land Use &amp; Climate Match'!$A$1)&amp;"4",'ESVD - SUMMARY TABLE'!$E$2:$G$294,3,),0),IF('Biodiversity Assessment'!$Z$102&gt;0,'Biodiversity Assessment'!$Z$102*VLOOKUP(CONCATENATE($B19,$C19,'ESVD - Land Use &amp; Climate Match'!$A$11)&amp;"1",'ESVD - SUMMARY TABLE'!$E$2:$G$294,3,FALSE),0)+IF('Biodiversity Assessment'!$Z$103&gt;0,'Biodiversity Assessment'!$Z$103*VLOOKUP(CONCATENATE($B19,$C19,'ESVD - Land Use &amp; Climate Match'!$A$11)&amp;"2",'ESVD - SUMMARY TABLE'!$E$2:$G$294,3,FALSE),0)+IF('Biodiversity Assessment'!$Z$104&gt;0,'Biodiversity Assessment'!$Z$104*VLOOKUP(CONCATENATE($B19,$C19,'ESVD - Land Use &amp; Climate Match'!$A$11)&amp;"3",'ESVD - SUMMARY TABLE'!$E$2:$G$294,3,FALSE),0)+IF('Biodiversity Assessment'!$Z$105&gt;0,'Biodiversity Assessment'!$Z$105*VLOOKUP(CONCATENATE($B19,$C19,'ESVD - Land Use &amp; Climate Match'!$A$11)&amp;"4",'ESVD - SUMMARY TABLE'!$E$2:$G$294,3,FALSE),0),IF('Biodiversity Assessment'!$BD$102&gt;0,'Biodiversity Assessment'!$BD$102*VLOOKUP(CONCATENATE($B19,$C19,'ESVD - Land Use &amp; Climate Match'!$A$32)&amp;"1",'ESVD - SUMMARY TABLE'!$E$2:$G$294,3,FALSE),0)+IF('Biodiversity Assessment'!$BD$103&gt;0,'Biodiversity Assessment'!$BD$103*VLOOKUP(CONCATENATE($B19,$C19,'ESVD - Land Use &amp; Climate Match'!$A$32)&amp;"2",'ESVD - SUMMARY TABLE'!$E$2:$G$294,3,FALSE),0)+IF('Biodiversity Assessment'!$BD$104&gt;0,'Biodiversity Assessment'!$BD$104*VLOOKUP(CONCATENATE($B19,$C19,'ESVD - Land Use &amp; Climate Match'!$A$32)&amp;"3",'ESVD - SUMMARY TABLE'!$E$2:$G$294,3,FALSE),0)+IF('Biodiversity Assessment'!$BD$105&gt;0,'Biodiversity Assessment'!$BD$105*VLOOKUP(CONCATENATE($B19,$C19,'ESVD - Land Use &amp; Climate Match'!$A$32)&amp;"4",'ESVD - SUMMARY TABLE'!$E$2:$G$294,3,FALSE),0)+IF('Biodiversity Assessment'!$BD$106&gt;0,'Biodiversity Assessment'!$BD$106*VLOOKUP(CONCATENATE($B19,$C19,'ESVD - Land Use &amp; Climate Match'!$A$32)&amp;"5",'ESVD - SUMMARY TABLE'!$E$2:$G$294,3,FALSE)))))),0)</f>
        <v>0</v>
      </c>
      <c r="H19" s="122">
        <f>IFERROR(IF(E19='ESVD - Land Use &amp; Climate Match'!$A$1,IF(SUM('Biodiversity Assessment'!$O$102:$P$105)=SUM('Biodiversity Assessment'!$J$102:$M$105),IF('Biodiversity Assessment'!$O$102&gt;0,'Biodiversity Assessment'!$O$102*VLOOKUP('ESVD - Social Value of Bio'!F19&amp;"1",'ESVD - SUMMARY TABLE'!$E$2:$G$294,3,),0)+IF('Biodiversity Assessment'!$O$103&gt;0,'Biodiversity Assessment'!$O$103*VLOOKUP('ESVD - Social Value of Bio'!F19&amp;"2",'ESVD - SUMMARY TABLE'!$E$2:$G$294,3,),0)+IF('Biodiversity Assessment'!$O$104&gt;0,'Biodiversity Assessment'!$O$104*VLOOKUP('ESVD - Social Value of Bio'!F19&amp;"3",'ESVD - SUMMARY TABLE'!$E$2:$G$294,3,),0)+IF('Biodiversity Assessment'!$O$105&gt;0,'Biodiversity Assessment'!$O$105*VLOOKUP('ESVD - Social Value of Bio'!F19&amp;"4",'ESVD - SUMMARY TABLE'!$E$2:$G$294,3,),0),0),IF(E19='ESVD - Land Use &amp; Climate Match'!$A$11,IF(SUM('Biodiversity Assessment'!$AH$102:$AN$105)=SUM('Biodiversity Assessment'!$Z$102:$AF$105),IF('Biodiversity Assessment'!$AH$102&gt;0,'Biodiversity Assessment'!$AH$102*VLOOKUP('ESVD - Social Value of Bio'!F19&amp;"1",'ESVD - SUMMARY TABLE'!$E$2:$G$294,3,FALSE),0)+IF('Biodiversity Assessment'!$AH$103&gt;0,'Biodiversity Assessment'!$AH$103*VLOOKUP('ESVD - Social Value of Bio'!F19&amp;"2",'ESVD - SUMMARY TABLE'!$E$2:$G$294,3,FALSE),0)+IF('Biodiversity Assessment'!$AH$104&gt;0,'Biodiversity Assessment'!$AH$104*VLOOKUP('ESVD - Social Value of Bio'!F19&amp;"3",'ESVD - SUMMARY TABLE'!$E$2:$G$294,3,FALSE),0)+IF('Biodiversity Assessment'!$AH$105&gt;0,'Biodiversity Assessment'!$AH$105*VLOOKUP('ESVD - Social Value of Bio'!F19&amp;"4",'ESVD - SUMMARY TABLE'!$E$2:$G$294,3,FALSE),0),0),IF(E19='ESVD - Land Use &amp; Climate Match'!$A$32,IF(SUM('Biodiversity Assessment'!$BF$102:$BF$106)=SUM('Biodiversity Assessment'!$BD$102:$BD$106),IF('Biodiversity Assessment'!$BF$102&gt;0,'Biodiversity Assessment'!$BF$102*VLOOKUP('ESVD - Social Value of Bio'!F19&amp;"1",'ESVD - SUMMARY TABLE'!$E$2:$G$294,3,FALSE),0)+IF('Biodiversity Assessment'!$BF$103&gt;0,'Biodiversity Assessment'!$BF$103*VLOOKUP('ESVD - Social Value of Bio'!F19&amp;"2",'ESVD - SUMMARY TABLE'!$E$2:$G$294,3,FALSE),0)+IF('Biodiversity Assessment'!$BF$104&gt;0,'Biodiversity Assessment'!$BF$104*VLOOKUP('ESVD - Social Value of Bio'!F19&amp;"3",'ESVD - SUMMARY TABLE'!$E$2:$G$294,3,FALSE),0)+IF('Biodiversity Assessment'!$BF$105&gt;0,'Biodiversity Assessment'!$BF$105*VLOOKUP('ESVD - Social Value of Bio'!F19&amp;"4",'ESVD - SUMMARY TABLE'!$E$2:$G$294,3,FALSE),0)+IF('Biodiversity Assessment'!$BF$106&gt;0,'Biodiversity Assessment'!$BF$106*VLOOKUP('ESVD - Social Value of Bio'!F19&amp;"5",'ESVD - SUMMARY TABLE'!$E$2:$G$294,3,FALSE),0),0),AVERAGE(IF(SUM('Biodiversity Assessment'!$O$102:$P$105)=SUM('Biodiversity Assessment'!$J$102:$M$105),IF('Biodiversity Assessment'!$O$102&gt;0,'Biodiversity Assessment'!$O$102*VLOOKUP(CONCATENATE($B19,$C19,'ESVD - Land Use &amp; Climate Match'!$A$1)&amp;"1",'ESVD - SUMMARY TABLE'!$E$2:$G$294,3,),0)+IF('Biodiversity Assessment'!$O$103&gt;0,'Biodiversity Assessment'!$O$103*VLOOKUP(CONCATENATE($B19,$C19,'ESVD - Land Use &amp; Climate Match'!$A$1)&amp;"2",'ESVD - SUMMARY TABLE'!$E$2:$G$294,3,),0)+IF('Biodiversity Assessment'!$O$104&gt;0,'Biodiversity Assessment'!$O$104*VLOOKUP(CONCATENATE($B19,$C19,'ESVD - Land Use &amp; Climate Match'!$A$1)&amp;"3",'ESVD - SUMMARY TABLE'!$E$2:$G$294,3,),0)+IF('Biodiversity Assessment'!$O$105&gt;0,'Biodiversity Assessment'!$O$105*VLOOKUP(CONCATENATE($B19,$C19,'ESVD - Land Use &amp; Climate Match'!$A$1)&amp;"4",'ESVD - SUMMARY TABLE'!$E$2:$G$294,3,),0),0),IF(SUM('Biodiversity Assessment'!$AH$102:$AN$105)=SUM('Biodiversity Assessment'!$Z$102:$AF$105),IF('Biodiversity Assessment'!$AH$102&gt;0,'Biodiversity Assessment'!$AH$102*VLOOKUP(CONCATENATE($B19,$C19,'ESVD - Land Use &amp; Climate Match'!$A$11)&amp;"1",'ESVD - SUMMARY TABLE'!$E$2:$G$294,3,FALSE),0)+IF('Biodiversity Assessment'!$AH$103&gt;0,'Biodiversity Assessment'!$AH$103*VLOOKUP(CONCATENATE($B19,$C19,'ESVD - Land Use &amp; Climate Match'!$A$11)&amp;"2",'ESVD - SUMMARY TABLE'!$E$2:$G$294,3,FALSE),0)+IF('Biodiversity Assessment'!$AH$104&gt;0,'Biodiversity Assessment'!$AH$104*VLOOKUP(CONCATENATE($B19,$C19,'ESVD - Land Use &amp; Climate Match'!$A$11)&amp;"3",'ESVD - SUMMARY TABLE'!$E$2:$G$294,3,FALSE),0)+IF('Biodiversity Assessment'!$AH$105&gt;0,'Biodiversity Assessment'!$AH$105*VLOOKUP(CONCATENATE($B19,$C19,'ESVD - Land Use &amp; Climate Match'!$A$11)&amp;"4",'ESVD - SUMMARY TABLE'!$E$2:$G$294,3,FALSE),0),0),IF(SUM('Biodiversity Assessment'!$BF$102:$BF$106)=SUM('Biodiversity Assessment'!$BD$102:$BD$106),IF('Biodiversity Assessment'!$BF$102&gt;0,'Biodiversity Assessment'!$BF$102*VLOOKUP(CONCATENATE($B19,$C19,'ESVD - Land Use &amp; Climate Match'!$A$32)&amp;"1",'ESVD - SUMMARY TABLE'!$E$2:$G$294,3,FALSE),0)+IF('Biodiversity Assessment'!$BF$103&gt;0,'Biodiversity Assessment'!$BF$103*VLOOKUP(CONCATENATE($B19,$C19,'ESVD - Land Use &amp; Climate Match'!$A$32)&amp;"2",'ESVD - SUMMARY TABLE'!$E$2:$G$294,3,FALSE),0)+IF('Biodiversity Assessment'!$BF$104&gt;0,'Biodiversity Assessment'!$BF$104*VLOOKUP(CONCATENATE($B19,$C19,'ESVD - Land Use &amp; Climate Match'!$A$32)&amp;"3",'ESVD - SUMMARY TABLE'!$E$2:$G$294,3,FALSE),0)+IF('Biodiversity Assessment'!$BF$105&gt;0,'Biodiversity Assessment'!$BF$105*VLOOKUP(CONCATENATE($B19,$C19,'ESVD - Land Use &amp; Climate Match'!$A$32)&amp;"4",'ESVD - SUMMARY TABLE'!$E$2:$G$294,3,FALSE),0)+IF('Biodiversity Assessment'!$BF$106&gt;0,'Biodiversity Assessment'!$BF$106*VLOOKUP(CONCATENATE($B19,$C19,'ESVD - Land Use &amp; Climate Match'!$A$32)&amp;"5",'ESVD - SUMMARY TABLE'!$E$2:$G$294,3,FALSE),0),0))))),0)</f>
        <v>0</v>
      </c>
      <c r="I19" s="122">
        <f>'Biodiversity Assessment'!CR34</f>
        <v>0</v>
      </c>
      <c r="J19" s="122">
        <f>IFERROR(IF(I19&gt;0,I19*'Biodiversity Assessment'!$M34,IF(H19&gt;0,H19*'Biodiversity Assessment'!$M34,G19*'Biodiversity Assessment'!$M34)),0)</f>
        <v>0</v>
      </c>
      <c r="K19" s="454"/>
      <c r="L19" s="123">
        <f>IFERROR(IF(E19='ESVD - Land Use &amp; Climate Match'!$A$1,IF('Biodiversity Assessment'!$J$102&gt;0,'Biodiversity Assessment'!$J$102*VLOOKUP('ESVD - Social Value of Bio'!F19&amp;"1",'ESVD - SUMMARY TABLE'!$E$2:$G$294,3,),0)+IF('Biodiversity Assessment'!$J$103&gt;0,'Biodiversity Assessment'!$J$103*VLOOKUP('ESVD - Social Value of Bio'!F19&amp;"2",'ESVD - SUMMARY TABLE'!$E$2:$G$294,3,),0)+IF('Biodiversity Assessment'!$J$104&gt;0,'Biodiversity Assessment'!$J$104*VLOOKUP('ESVD - Social Value of Bio'!F19&amp;"3",'ESVD - SUMMARY TABLE'!$E$2:$G$294,3,),0)+IF('Biodiversity Assessment'!$J$105&gt;0,'Biodiversity Assessment'!$J$105*VLOOKUP('ESVD - Social Value of Bio'!F19&amp;"4",'ESVD - SUMMARY TABLE'!$E$2:$G$294,3,),0),IF(E19='ESVD - Land Use &amp; Climate Match'!$A$11,IF('Biodiversity Assessment'!$Z$102&gt;0,'Biodiversity Assessment'!$Z$102*VLOOKUP('ESVD - Social Value of Bio'!F19&amp;"1",'ESVD - SUMMARY TABLE'!$E$2:$G$294,3,FALSE),0)+IF('Biodiversity Assessment'!$Z$103&gt;0,'Biodiversity Assessment'!$Z$103*VLOOKUP('ESVD - Social Value of Bio'!F19&amp;"2",'ESVD - SUMMARY TABLE'!$E$2:$G$294,3,FALSE),0)+IF('Biodiversity Assessment'!$Z$104&gt;0,'Biodiversity Assessment'!$Z$104*VLOOKUP('ESVD - Social Value of Bio'!F19&amp;"3",'ESVD - SUMMARY TABLE'!$E$2:$G$294,3,FALSE),0)+IF('Biodiversity Assessment'!$Z$105&gt;0,'Biodiversity Assessment'!$Z$105*VLOOKUP('ESVD - Social Value of Bio'!F19&amp;"4",'ESVD - SUMMARY TABLE'!$E$2:$G$294,3,FALSE),0),IF(E19='ESVD - Land Use &amp; Climate Match'!$A$32,IF('Biodiversity Assessment'!$BD$102&gt;0,'Biodiversity Assessment'!$BD$102*VLOOKUP('ESVD - Social Value of Bio'!F19&amp;"1",'ESVD - SUMMARY TABLE'!$E$2:$G$294,3,FALSE),0)+IF('Biodiversity Assessment'!$BD$103&gt;0,'Biodiversity Assessment'!$BD$103*VLOOKUP('ESVD - Social Value of Bio'!F19&amp;"2",'ESVD - SUMMARY TABLE'!$E$2:$G$294,3,FALSE),0)+IF('Biodiversity Assessment'!$BD$104&gt;0,'Biodiversity Assessment'!$BD$104*VLOOKUP('ESVD - Social Value of Bio'!F19&amp;"3",'ESVD - SUMMARY TABLE'!$E$2:$G$294,3,FALSE),0)+IF('Biodiversity Assessment'!$BD$105&gt;0,'Biodiversity Assessment'!$BD$105*VLOOKUP('ESVD - Social Value of Bio'!F19&amp;"4",'ESVD - SUMMARY TABLE'!$E$2:$G$294,3,FALSE),0)+IF('Biodiversity Assessment'!$BD$106&gt;0,'Biodiversity Assessment'!$BD$106*VLOOKUP('ESVD - Social Value of Bio'!F19&amp;"5",'ESVD - SUMMARY TABLE'!$E$2:$G$294,3,FALSE),0),VLOOKUP('ESVD - Social Value of Bio'!F19&amp;"1",'ESVD - SUMMARY TABLE'!$E$2:$G$294,3,FALSE)))),0)</f>
        <v>0</v>
      </c>
      <c r="M19" s="123">
        <f>IFERROR(IF(E19='ESVD - Land Use &amp; Climate Match'!$A$1,IF(SUM('Biodiversity Assessment'!$O$102:$P$105)=SUM('Biodiversity Assessment'!$J$102:$M$105),IF('Biodiversity Assessment'!$O$102&gt;0,'Biodiversity Assessment'!$O$102*VLOOKUP('ESVD - Social Value of Bio'!F19&amp;"1",'ESVD - SUMMARY TABLE'!$E$2:$G$294,3,),0)+IF('Biodiversity Assessment'!$O$103&gt;0,'Biodiversity Assessment'!$O$103*VLOOKUP('ESVD - Social Value of Bio'!F19&amp;"2",'ESVD - SUMMARY TABLE'!$E$2:$G$294,3,),0)+IF('Biodiversity Assessment'!$O$104&gt;0,'Biodiversity Assessment'!$O$104*VLOOKUP('ESVD - Social Value of Bio'!F19&amp;"3",'ESVD - SUMMARY TABLE'!$E$2:$G$294,3,),0)+IF('Biodiversity Assessment'!$O$105&gt;0,'Biodiversity Assessment'!$O$105*VLOOKUP('ESVD - Social Value of Bio'!F19&amp;"4",'ESVD - SUMMARY TABLE'!$E$2:$G$294,3,),0),0),IF(E19='ESVD - Land Use &amp; Climate Match'!$A$11,IF(SUM('Biodiversity Assessment'!$AH$102:$AN$105)=SUM('Biodiversity Assessment'!$Z$102:$AF$105),IF('Biodiversity Assessment'!$AH$102&gt;0,'Biodiversity Assessment'!$AH$102*VLOOKUP('ESVD - Social Value of Bio'!F19&amp;"1",'ESVD - SUMMARY TABLE'!$E$2:$G$294,3,FALSE),0)+IF('Biodiversity Assessment'!$AH$103&gt;0,'Biodiversity Assessment'!$AH$103*VLOOKUP('ESVD - Social Value of Bio'!F19&amp;"2",'ESVD - SUMMARY TABLE'!$E$2:$G$294,3,FALSE),0)+IF('Biodiversity Assessment'!$AH$104&gt;0,'Biodiversity Assessment'!$AH$104*VLOOKUP('ESVD - Social Value of Bio'!F19&amp;"3",'ESVD - SUMMARY TABLE'!$E$2:$G$294,3,FALSE),0)+IF('Biodiversity Assessment'!$AH$105&gt;0,'Biodiversity Assessment'!$AH$105*VLOOKUP('ESVD - Social Value of Bio'!F19&amp;"4",'ESVD - SUMMARY TABLE'!$E$2:$G$294,3,FALSE),0),0),IF(E19='ESVD - Land Use &amp; Climate Match'!$A$32,IF(SUM('Biodiversity Assessment'!$BF$102:$BF$106)=SUM('Biodiversity Assessment'!$BD$102:$BD$106),IF('Biodiversity Assessment'!$BF$102&gt;0,'Biodiversity Assessment'!$BF$102*VLOOKUP('ESVD - Social Value of Bio'!F19&amp;"1",'ESVD - SUMMARY TABLE'!$E$2:$G$294,3,FALSE),0)+IF('Biodiversity Assessment'!$BF$103&gt;0,'Biodiversity Assessment'!$BF$103*VLOOKUP('ESVD - Social Value of Bio'!F19&amp;"2",'ESVD - SUMMARY TABLE'!$E$2:$G$294,3,FALSE),0)+IF('Biodiversity Assessment'!$BF$104&gt;0,'Biodiversity Assessment'!$BF$104*VLOOKUP('ESVD - Social Value of Bio'!F19&amp;"3",'ESVD - SUMMARY TABLE'!$E$2:$G$294,3,FALSE),0)+IF('Biodiversity Assessment'!$BF$105&gt;0,'Biodiversity Assessment'!$BF$105*VLOOKUP('ESVD - Social Value of Bio'!F19&amp;"4",'ESVD - SUMMARY TABLE'!$E$2:$G$294,3,FALSE),0)+IF('Biodiversity Assessment'!$BF$106&gt;0,'Biodiversity Assessment'!$BF$106*VLOOKUP('ESVD - Social Value of Bio'!F19&amp;"5",'ESVD - SUMMARY TABLE'!$E$2:$G$294,3,FALSE),0),0),VLOOKUP('ESVD - Social Value of Bio'!F19&amp;"1",'ESVD - SUMMARY TABLE'!$E$2:$G$294,3,FALSE)))),0)</f>
        <v>0</v>
      </c>
      <c r="N19" s="123">
        <f>'Biodiversity Assessment'!CR34</f>
        <v>0</v>
      </c>
      <c r="O19" s="124">
        <f>IFERROR(IF(N19&gt;0,N19*'Biodiversity Assessment'!M34,IF(M19&gt;0,M19*'Biodiversity Assessment'!M34,L19*'Biodiversity Assessment'!M34)),0)</f>
        <v>0</v>
      </c>
      <c r="P19" s="456"/>
      <c r="R19" s="108" t="str">
        <f>'Biodiversity Assessment'!O34</f>
        <v>Select land use</v>
      </c>
      <c r="S19" s="109" t="str">
        <f>IF(OR(R19=Data!$E$4,R19=Data!$E$5,R19=Data!$E$6,R19=Data!$E$7),Data!$E$4,IF(OR(R19=Data!$E$9,R19=Data!$E$10,R19=Data!$E$11),Data!$E$9,IF(OR(R19=Data!$E$12,R19=Data!$E$13,R19=Data!$E$14),"Cropland",IF(OR(R19=Data!$E$16,R19=Data!$E$17),"Agroforestry",R19))))</f>
        <v>Select land use</v>
      </c>
      <c r="T19" s="109" t="str">
        <f t="shared" si="1"/>
        <v>Please selectPlease selectSelect land use</v>
      </c>
      <c r="U19" s="122">
        <f>IFERROR(IF(S19='ESVD - Land Use &amp; Climate Match'!$A$1,IF('Biodiversity Assessment'!$J$102&gt;0,'Biodiversity Assessment'!$J$102*VLOOKUP('ESVD - Social Value of Bio'!T19&amp;"1",'ESVD - SUMMARY TABLE'!$E$2:$G$294,3,),0)+IF('Biodiversity Assessment'!$J$103&gt;0,'Biodiversity Assessment'!$J$103*VLOOKUP('ESVD - Social Value of Bio'!T19&amp;"2",'ESVD - SUMMARY TABLE'!$E$2:$G$294,3,),0)+IF('Biodiversity Assessment'!$J$104&gt;0,'Biodiversity Assessment'!$J$104*VLOOKUP('ESVD - Social Value of Bio'!T19&amp;"3",'ESVD - SUMMARY TABLE'!$E$2:$G$294,3,),0)+IF('Biodiversity Assessment'!$J$105&gt;0,'Biodiversity Assessment'!$J$105*VLOOKUP('ESVD - Social Value of Bio'!T19&amp;"4",'ESVD - SUMMARY TABLE'!$E$2:$G$294,3,),0),IF(S19='ESVD - Land Use &amp; Climate Match'!$A$11,IF('Biodiversity Assessment'!$Z$102&gt;0,'Biodiversity Assessment'!$Z$102*VLOOKUP('ESVD - Social Value of Bio'!T19&amp;"1",'ESVD - SUMMARY TABLE'!$E$2:$G$294,3,FALSE),0)+IF('Biodiversity Assessment'!$Z$103&gt;0,'Biodiversity Assessment'!$Z$103*VLOOKUP('ESVD - Social Value of Bio'!T19&amp;"2",'ESVD - SUMMARY TABLE'!$E$2:$G$294,3,FALSE),0)+IF('Biodiversity Assessment'!$Z$104&gt;0,'Biodiversity Assessment'!$Z$104*VLOOKUP('ESVD - Social Value of Bio'!T19&amp;"3",'ESVD - SUMMARY TABLE'!$E$2:$G$294,3,FALSE),0)+IF('Biodiversity Assessment'!$Z$105&gt;0,'Biodiversity Assessment'!$Z$105*VLOOKUP('ESVD - Social Value of Bio'!T19&amp;"4",'ESVD - SUMMARY TABLE'!$E$2:$G$294,3,FALSE),0),IF(S19='ESVD - Land Use &amp; Climate Match'!$A$32,IF('Biodiversity Assessment'!$BD$102&gt;0,'Biodiversity Assessment'!$BD$102*VLOOKUP('ESVD - Social Value of Bio'!T19&amp;"1",'ESVD - SUMMARY TABLE'!$E$2:$G$294,3,FALSE),0)+IF('Biodiversity Assessment'!$BD$103&gt;0,'Biodiversity Assessment'!$BD$103*VLOOKUP('ESVD - Social Value of Bio'!T19&amp;"2",'ESVD - SUMMARY TABLE'!$E$2:$G$294,3,FALSE),0)+IF('Biodiversity Assessment'!$BD$104&gt;0,'Biodiversity Assessment'!$BD$104*VLOOKUP('ESVD - Social Value of Bio'!T19&amp;"3",'ESVD - SUMMARY TABLE'!$E$2:$G$294,3,FALSE),0)+IF('Biodiversity Assessment'!$BD$105&gt;0,'Biodiversity Assessment'!$BD$105*VLOOKUP('ESVD - Social Value of Bio'!T19&amp;"4",'ESVD - SUMMARY TABLE'!$E$2:$G$294,3,FALSE),0)+IF('Biodiversity Assessment'!$BD$106&gt;0,'Biodiversity Assessment'!$BD$106*VLOOKUP('ESVD - Social Value of Bio'!T19&amp;"5",'ESVD - SUMMARY TABLE'!$E$2:$G$294,3,FALSE),0),AVERAGE(IF('Biodiversity Assessment'!$J$102&gt;0,'Biodiversity Assessment'!$J$102*VLOOKUP(CONCATENATE(B19,C19,'ESVD - Land Use &amp; Climate Match'!$A$1)&amp;"1",'ESVD - SUMMARY TABLE'!$E$2:$G$294,3,),0)+IF('Biodiversity Assessment'!$J$103&gt;0,'Biodiversity Assessment'!$J$103*VLOOKUP(CONCATENATE(B19,C19,'ESVD - Land Use &amp; Climate Match'!$A$1)&amp;"2",'ESVD - SUMMARY TABLE'!$E$2:$G$294,3,),0)+IF('Biodiversity Assessment'!$J$104&gt;0,'Biodiversity Assessment'!$J$104*VLOOKUP(CONCATENATE(B19,C19,'ESVD - Land Use &amp; Climate Match'!$A$1)&amp;"3",'ESVD - SUMMARY TABLE'!$E$2:$G$294,3,),0)+IF('Biodiversity Assessment'!$J$105&gt;0,'Biodiversity Assessment'!$J$105*VLOOKUP(CONCATENATE(B19,C19,'ESVD - Land Use &amp; Climate Match'!$A$1)&amp;"4",'ESVD - SUMMARY TABLE'!$E$2:$G$294,3,),0),IF('Biodiversity Assessment'!$Z$102&gt;0,'Biodiversity Assessment'!$Z$102*VLOOKUP(CONCATENATE(B19,C19,'ESVD - Land Use &amp; Climate Match'!$A$11)&amp;"1",'ESVD - SUMMARY TABLE'!$E$2:$G$294,3,FALSE),0)+IF('Biodiversity Assessment'!$Z$103&gt;0,'Biodiversity Assessment'!$Z$103*VLOOKUP(CONCATENATE(B19,C19,'ESVD - Land Use &amp; Climate Match'!$A$11)&amp;"2",'ESVD - SUMMARY TABLE'!$E$2:$G$294,3,FALSE),0)+IF('Biodiversity Assessment'!$Z$104&gt;0,'Biodiversity Assessment'!$Z$104*VLOOKUP(CONCATENATE(B19,C19,'ESVD - Land Use &amp; Climate Match'!$A$11)&amp;"3",'ESVD - SUMMARY TABLE'!$E$2:$G$294,3,FALSE),0)+IF('Biodiversity Assessment'!$Z$105&gt;0,'Biodiversity Assessment'!$Z$105*VLOOKUP(CONCATENATE(B19,C19,'ESVD - Land Use &amp; Climate Match'!$A$11)&amp;"4",'ESVD - SUMMARY TABLE'!$E$2:$G$294,3,FALSE),0),IF('Biodiversity Assessment'!$BD$102&gt;0,'Biodiversity Assessment'!$BD$102*VLOOKUP(CONCATENATE(B19,C19,'ESVD - Land Use &amp; Climate Match'!$A$32)&amp;"1",'ESVD - SUMMARY TABLE'!$E$2:$G$294,3,FALSE),0)+IF('Biodiversity Assessment'!$BD$103&gt;0,'Biodiversity Assessment'!$BD$103*VLOOKUP(CONCATENATE(B19,C19,'ESVD - Land Use &amp; Climate Match'!$A$32)&amp;"2",'ESVD - SUMMARY TABLE'!$E$2:$G$294,3,FALSE),0)+IF('Biodiversity Assessment'!$BD$104&gt;0,'Biodiversity Assessment'!$BD$104*VLOOKUP(CONCATENATE(B19,C19,'ESVD - Land Use &amp; Climate Match'!$A$32)&amp;"3",'ESVD - SUMMARY TABLE'!$E$2:$G$294,3,FALSE),0)+IF('Biodiversity Assessment'!$BD$105&gt;0,'Biodiversity Assessment'!$BD$105*VLOOKUP(CONCATENATE(B19,C19,'ESVD - Land Use &amp; Climate Match'!$A$32)&amp;"4",'ESVD - SUMMARY TABLE'!$E$2:$G$294,3,FALSE),0)+IF('Biodiversity Assessment'!$BD$106&gt;0,'Biodiversity Assessment'!$BD$106*VLOOKUP(CONCATENATE(B19,C19,'ESVD - Land Use &amp; Climate Match'!$A$32)&amp;"5",'ESVD - SUMMARY TABLE'!$E$2:$G$294,3,FALSE)))))),0)</f>
        <v>0</v>
      </c>
      <c r="V19" s="122">
        <f>IFERROR(IF(S19='ESVD - Land Use &amp; Climate Match'!$A$1,IF(SUM('Biodiversity Assessment'!$O$102:$P$105)=SUM('Biodiversity Assessment'!$J$102:$M$105),IF('Biodiversity Assessment'!$O$102&gt;0,'Biodiversity Assessment'!$O$102*VLOOKUP('ESVD - Social Value of Bio'!T19&amp;"1",'ESVD - SUMMARY TABLE'!$E$2:$G$294,3,),0)+IF('Biodiversity Assessment'!$O$103&gt;0,'Biodiversity Assessment'!$O$103*VLOOKUP('ESVD - Social Value of Bio'!T19&amp;"2",'ESVD - SUMMARY TABLE'!$E$2:$G$294,3,),0)+IF('Biodiversity Assessment'!$O$104&gt;0,'Biodiversity Assessment'!$O$104*VLOOKUP('ESVD - Social Value of Bio'!T19&amp;"3",'ESVD - SUMMARY TABLE'!$E$2:$G$294,3,),0)+IF('Biodiversity Assessment'!$O$105&gt;0,'Biodiversity Assessment'!$O$105*VLOOKUP('ESVD - Social Value of Bio'!T19&amp;"4",'ESVD - SUMMARY TABLE'!$E$2:$G$294,3,),0),0),IF(S19='ESVD - Land Use &amp; Climate Match'!$A$11,IF(SUM('Biodiversity Assessment'!$AH$102:$AN$105)=SUM('Biodiversity Assessment'!$Z$102:$AF$105),IF('Biodiversity Assessment'!$AH$102&gt;0,'Biodiversity Assessment'!$AH$102*VLOOKUP('ESVD - Social Value of Bio'!T19&amp;"1",'ESVD - SUMMARY TABLE'!$E$2:$G$294,3,FALSE),0)+IF('Biodiversity Assessment'!$AH$103&gt;0,'Biodiversity Assessment'!$AH$103*VLOOKUP('ESVD - Social Value of Bio'!T19&amp;"2",'ESVD - SUMMARY TABLE'!$E$2:$G$294,3,FALSE),0)+IF('Biodiversity Assessment'!$AH$104&gt;0,'Biodiversity Assessment'!$AH$104*VLOOKUP('ESVD - Social Value of Bio'!T19&amp;"3",'ESVD - SUMMARY TABLE'!$E$2:$G$294,3,FALSE),0)+IF('Biodiversity Assessment'!$AH$105&gt;0,'Biodiversity Assessment'!$AH$105*VLOOKUP('ESVD - Social Value of Bio'!T19&amp;"4",'ESVD - SUMMARY TABLE'!$E$2:$G$294,3,FALSE),0),0),IF(S19='ESVD - Land Use &amp; Climate Match'!$A$32,IF(SUM('Biodiversity Assessment'!$BF$102:$BF$106)=SUM('Biodiversity Assessment'!$BD$102:$BD$106),IF('Biodiversity Assessment'!$BF$102&gt;0,'Biodiversity Assessment'!$BF$102*VLOOKUP('ESVD - Social Value of Bio'!T19&amp;"1",'ESVD - SUMMARY TABLE'!$E$2:$G$294,3,FALSE),0)+IF('Biodiversity Assessment'!$BF$103&gt;0,'Biodiversity Assessment'!$BF$103*VLOOKUP('ESVD - Social Value of Bio'!T19&amp;"2",'ESVD - SUMMARY TABLE'!$E$2:$G$294,3,FALSE),0)+IF('Biodiversity Assessment'!$BF$104&gt;0,'Biodiversity Assessment'!$BF$104*VLOOKUP('ESVD - Social Value of Bio'!T19&amp;"3",'ESVD - SUMMARY TABLE'!$E$2:$G$294,3,FALSE),0)+IF('Biodiversity Assessment'!$BF$105&gt;0,'Biodiversity Assessment'!$BF$105*VLOOKUP('ESVD - Social Value of Bio'!T19&amp;"4",'ESVD - SUMMARY TABLE'!$E$2:$G$294,3,FALSE),0)+IF('Biodiversity Assessment'!$BF$106&gt;0,'Biodiversity Assessment'!$BF$106*VLOOKUP('ESVD - Social Value of Bio'!T19&amp;"5",'ESVD - SUMMARY TABLE'!$E$2:$G$294,3,FALSE),0),0),AVERAGE(IF(SUM('Biodiversity Assessment'!$O$102:$P$105)=SUM('Biodiversity Assessment'!$J$102:$M$105),IF('Biodiversity Assessment'!$O$102&gt;0,'Biodiversity Assessment'!$O$102*VLOOKUP(CONCATENATE($B19,$C19,'ESVD - Land Use &amp; Climate Match'!$A$1)&amp;"1",'ESVD - SUMMARY TABLE'!$E$2:$G$294,3,),0)+IF('Biodiversity Assessment'!$O$103&gt;0,'Biodiversity Assessment'!$O$103*VLOOKUP(CONCATENATE($B19,$C19,'ESVD - Land Use &amp; Climate Match'!$A$1)&amp;"2",'ESVD - SUMMARY TABLE'!$E$2:$G$294,3,),0)+IF('Biodiversity Assessment'!$O$104&gt;0,'Biodiversity Assessment'!$O$104*VLOOKUP(CONCATENATE($B19,$C19,'ESVD - Land Use &amp; Climate Match'!$A$1)&amp;"3",'ESVD - SUMMARY TABLE'!$E$2:$G$294,3,),0)+IF('Biodiversity Assessment'!$O$105&gt;0,'Biodiversity Assessment'!$O$105*VLOOKUP(CONCATENATE($B19,$C19,'ESVD - Land Use &amp; Climate Match'!$A$1)&amp;"4",'ESVD - SUMMARY TABLE'!$E$2:$G$294,3,),0),0),IF(SUM('Biodiversity Assessment'!$AH$102:$AN$105)=SUM('Biodiversity Assessment'!$Z$102:$AF$105),IF('Biodiversity Assessment'!$AH$102&gt;0,'Biodiversity Assessment'!$AH$102*VLOOKUP(CONCATENATE($B19,$C19,'ESVD - Land Use &amp; Climate Match'!$A$11)&amp;"1",'ESVD - SUMMARY TABLE'!$E$2:$G$294,3,FALSE),0)+IF('Biodiversity Assessment'!$AH$103&gt;0,'Biodiversity Assessment'!$AH$103*VLOOKUP(CONCATENATE($B19,$C19,'ESVD - Land Use &amp; Climate Match'!$A$11)&amp;"2",'ESVD - SUMMARY TABLE'!$E$2:$G$294,3,FALSE),0)+IF('Biodiversity Assessment'!$AH$104&gt;0,'Biodiversity Assessment'!$AH$104*VLOOKUP(CONCATENATE($B19,$C19,'ESVD - Land Use &amp; Climate Match'!$A$11)&amp;"3",'ESVD - SUMMARY TABLE'!$E$2:$G$294,3,FALSE),0)+IF('Biodiversity Assessment'!$AH$105&gt;0,'Biodiversity Assessment'!$AH$105*VLOOKUP(CONCATENATE($B19,$C19,'ESVD - Land Use &amp; Climate Match'!$A$11)&amp;"4",'ESVD - SUMMARY TABLE'!$E$2:$G$294,3,FALSE),0),0),IF(SUM('Biodiversity Assessment'!$BF$102:$BF$106)=SUM('Biodiversity Assessment'!$BD$102:$BD$106),IF('Biodiversity Assessment'!$BF$102&gt;0,'Biodiversity Assessment'!$BF$102*VLOOKUP(CONCATENATE($B19,$C19,'ESVD - Land Use &amp; Climate Match'!$A$32)&amp;"1",'ESVD - SUMMARY TABLE'!$E$2:$G$294,3,FALSE),0)+IF('Biodiversity Assessment'!$BF$103&gt;0,'Biodiversity Assessment'!$BF$103*VLOOKUP(CONCATENATE($B19,$C19,'ESVD - Land Use &amp; Climate Match'!$A$32)&amp;"2",'ESVD - SUMMARY TABLE'!$E$2:$G$294,3,FALSE),0)+IF('Biodiversity Assessment'!$BF$104&gt;0,'Biodiversity Assessment'!$BF$104*VLOOKUP(CONCATENATE($B19,$C19,'ESVD - Land Use &amp; Climate Match'!$A$32)&amp;"3",'ESVD - SUMMARY TABLE'!$E$2:$G$294,3,FALSE),0)+IF('Biodiversity Assessment'!$BF$105&gt;0,'Biodiversity Assessment'!$BF$105*VLOOKUP(CONCATENATE($B19,$C19,'ESVD - Land Use &amp; Climate Match'!$A$32)&amp;"4",'ESVD - SUMMARY TABLE'!$E$2:$G$294,3,FALSE),0)+IF('Biodiversity Assessment'!$BF$106&gt;0,'Biodiversity Assessment'!$BF$106*VLOOKUP(CONCATENATE($B19,$C19,'ESVD - Land Use &amp; Climate Match'!$A$32)&amp;"5",'ESVD - SUMMARY TABLE'!$E$2:$G$294,3,FALSE),0),0))))),0)</f>
        <v>0</v>
      </c>
      <c r="W19" s="122">
        <f>'Biodiversity Assessment'!CX34</f>
        <v>0</v>
      </c>
      <c r="X19" s="122">
        <f>IFERROR(IF(W19&gt;0,W19*'Biodiversity Assessment'!$U34,IF(V19&gt;0,V19*'Biodiversity Assessment'!$U34,U19*'Biodiversity Assessment'!$U34)),0)</f>
        <v>0</v>
      </c>
      <c r="Y19" s="454"/>
      <c r="Z19" s="123">
        <f>IFERROR(IF(S19='ESVD - Land Use &amp; Climate Match'!$A$1,IF('Biodiversity Assessment'!$J$102&gt;0,'Biodiversity Assessment'!$J$102*VLOOKUP('ESVD - Social Value of Bio'!T19&amp;"1",'ESVD - SUMMARY TABLE'!$E$2:$G$294,3,),0)+IF('Biodiversity Assessment'!$J$103&gt;0,'Biodiversity Assessment'!$J$103*VLOOKUP('ESVD - Social Value of Bio'!T19&amp;"2",'ESVD - SUMMARY TABLE'!$E$2:$G$294,3,),0)+IF('Biodiversity Assessment'!$J$104&gt;0,'Biodiversity Assessment'!$J$104*VLOOKUP('ESVD - Social Value of Bio'!T19&amp;"3",'ESVD - SUMMARY TABLE'!$E$2:$G$294,3,),0)+IF('Biodiversity Assessment'!$J$105&gt;0,'Biodiversity Assessment'!$J$105*VLOOKUP('ESVD - Social Value of Bio'!T19&amp;"4",'ESVD - SUMMARY TABLE'!$E$2:$G$294,3,),0),IF(S19='ESVD - Land Use &amp; Climate Match'!$A$11,IF('Biodiversity Assessment'!$Z$102&gt;0,'Biodiversity Assessment'!$Z$102*VLOOKUP('ESVD - Social Value of Bio'!T19&amp;"1",'ESVD - SUMMARY TABLE'!$E$2:$G$294,3,FALSE),0)+IF('Biodiversity Assessment'!$Z$103&gt;0,'Biodiversity Assessment'!$Z$103*VLOOKUP('ESVD - Social Value of Bio'!T19&amp;"2",'ESVD - SUMMARY TABLE'!$E$2:$G$294,3,FALSE),0)+IF('Biodiversity Assessment'!$Z$104&gt;0,'Biodiversity Assessment'!$Z$104*VLOOKUP('ESVD - Social Value of Bio'!T19&amp;"3",'ESVD - SUMMARY TABLE'!$E$2:$G$294,3,FALSE),0)+IF('Biodiversity Assessment'!$Z$105&gt;0,'Biodiversity Assessment'!$Z$105*VLOOKUP('ESVD - Social Value of Bio'!T19&amp;"4",'ESVD - SUMMARY TABLE'!$E$2:$G$294,3,FALSE),0),IF(S19='ESVD - Land Use &amp; Climate Match'!$A$32,IF('Biodiversity Assessment'!$BD$102&gt;0,'Biodiversity Assessment'!$BD$102*VLOOKUP('ESVD - Social Value of Bio'!T19&amp;"1",'ESVD - SUMMARY TABLE'!$E$2:$G$294,3,FALSE),0)+IF('Biodiversity Assessment'!$BD$103&gt;0,'Biodiversity Assessment'!$BD$103*VLOOKUP('ESVD - Social Value of Bio'!T19&amp;"2",'ESVD - SUMMARY TABLE'!$E$2:$G$294,3,FALSE),0)+IF('Biodiversity Assessment'!$BD$104&gt;0,'Biodiversity Assessment'!$BD$104*VLOOKUP('ESVD - Social Value of Bio'!T19&amp;"3",'ESVD - SUMMARY TABLE'!$E$2:$G$294,3,FALSE),0)+IF('Biodiversity Assessment'!$BD$105&gt;0,'Biodiversity Assessment'!$BD$105*VLOOKUP('ESVD - Social Value of Bio'!T19&amp;"4",'ESVD - SUMMARY TABLE'!$E$2:$G$294,3,FALSE),0)+IF('Biodiversity Assessment'!$BD$106&gt;0,'Biodiversity Assessment'!$BD$106*VLOOKUP('ESVD - Social Value of Bio'!T19&amp;"5",'ESVD - SUMMARY TABLE'!$E$2:$G$294,3,FALSE),0),VLOOKUP('ESVD - Social Value of Bio'!T19&amp;"1",'ESVD - SUMMARY TABLE'!$E$2:$G$294,3,FALSE)))),0)</f>
        <v>0</v>
      </c>
      <c r="AA19" s="123">
        <f>IFERROR(IF(S19='ESVD - Land Use &amp; Climate Match'!$A$1,IF(SUM('Biodiversity Assessment'!$O$102:$P$105)=SUM('Biodiversity Assessment'!$J$102:$M$105),IF('Biodiversity Assessment'!$O$102&gt;0,'Biodiversity Assessment'!$O$102*VLOOKUP('ESVD - Social Value of Bio'!T19&amp;"1",'ESVD - SUMMARY TABLE'!$E$2:$G$294,3,),0)+IF('Biodiversity Assessment'!$O$103&gt;0,'Biodiversity Assessment'!$O$103*VLOOKUP('ESVD - Social Value of Bio'!T19&amp;"2",'ESVD - SUMMARY TABLE'!$E$2:$G$294,3,),0)+IF('Biodiversity Assessment'!$O$104&gt;0,'Biodiversity Assessment'!$O$104*VLOOKUP('ESVD - Social Value of Bio'!T19&amp;"3",'ESVD - SUMMARY TABLE'!$E$2:$G$294,3,),0)+IF('Biodiversity Assessment'!$O$105&gt;0,'Biodiversity Assessment'!$O$105*VLOOKUP('ESVD - Social Value of Bio'!T19&amp;"4",'ESVD - SUMMARY TABLE'!$E$2:$G$294,3,),0),0),IF(S19='ESVD - Land Use &amp; Climate Match'!$A$11,IF(SUM('Biodiversity Assessment'!$AH$102:$AN$105)=SUM('Biodiversity Assessment'!$Z$102:$AF$105),IF('Biodiversity Assessment'!$AH$102&gt;0,'Biodiversity Assessment'!$AH$102*VLOOKUP('ESVD - Social Value of Bio'!T19&amp;"1",'ESVD - SUMMARY TABLE'!$E$2:$G$294,3,FALSE),0)+IF('Biodiversity Assessment'!$AH$103&gt;0,'Biodiversity Assessment'!$AH$103*VLOOKUP('ESVD - Social Value of Bio'!T19&amp;"2",'ESVD - SUMMARY TABLE'!$E$2:$G$294,3,FALSE),0)+IF('Biodiversity Assessment'!$AH$104&gt;0,'Biodiversity Assessment'!$AH$104*VLOOKUP('ESVD - Social Value of Bio'!T19&amp;"3",'ESVD - SUMMARY TABLE'!$E$2:$G$294,3,FALSE),0)+IF('Biodiversity Assessment'!$AH$105&gt;0,'Biodiversity Assessment'!$AH$105*VLOOKUP('ESVD - Social Value of Bio'!T19&amp;"4",'ESVD - SUMMARY TABLE'!$E$2:$G$294,3,FALSE),0),0),IF(S19='ESVD - Land Use &amp; Climate Match'!$A$32,IF(SUM('Biodiversity Assessment'!$BF$102:$BF$106)=SUM('Biodiversity Assessment'!$BD$102:$BD$106),IF('Biodiversity Assessment'!$BF$102&gt;0,'Biodiversity Assessment'!$BF$102*VLOOKUP('ESVD - Social Value of Bio'!T19&amp;"1",'ESVD - SUMMARY TABLE'!$E$2:$G$294,3,FALSE),0)+IF('Biodiversity Assessment'!$BF$103&gt;0,'Biodiversity Assessment'!$BF$103*VLOOKUP('ESVD - Social Value of Bio'!T19&amp;"2",'ESVD - SUMMARY TABLE'!$E$2:$G$294,3,FALSE),0)+IF('Biodiversity Assessment'!$BF$104&gt;0,'Biodiversity Assessment'!$BF$104*VLOOKUP('ESVD - Social Value of Bio'!T19&amp;"3",'ESVD - SUMMARY TABLE'!$E$2:$G$294,3,FALSE),0)+IF('Biodiversity Assessment'!$BF$105&gt;0,'Biodiversity Assessment'!$BF$105*VLOOKUP('ESVD - Social Value of Bio'!T19&amp;"4",'ESVD - SUMMARY TABLE'!$E$2:$G$294,3,FALSE),0)+IF('Biodiversity Assessment'!$BF$106&gt;0,'Biodiversity Assessment'!$BF$106*VLOOKUP('ESVD - Social Value of Bio'!T19&amp;"5",'ESVD - SUMMARY TABLE'!$E$2:$G$294,3,FALSE),0),0),VLOOKUP('ESVD - Social Value of Bio'!T19&amp;"1",'ESVD - SUMMARY TABLE'!$E$2:$G$294,3,FALSE)))),0)</f>
        <v>0</v>
      </c>
      <c r="AB19" s="123">
        <f>'Biodiversity Assessment'!CX34</f>
        <v>0</v>
      </c>
      <c r="AC19" s="124">
        <f>IFERROR(IF(AB19&gt;0,AB19*'Biodiversity Assessment'!U34,IF(AA19&gt;0,AA19*'Biodiversity Assessment'!U34,Z19*'Biodiversity Assessment'!U34)),0)</f>
        <v>0</v>
      </c>
      <c r="AD19" s="456"/>
      <c r="AG19" s="453"/>
    </row>
    <row r="20" spans="1:33" s="110" customFormat="1" ht="10.5" x14ac:dyDescent="0.25">
      <c r="A20" s="107" t="s">
        <v>225</v>
      </c>
      <c r="B20" s="108" t="str">
        <f>IF(Start!$D$28&gt;1000,CONCATENATE(Start!$D$20," Mountain"),Start!$D$20)</f>
        <v>Please select</v>
      </c>
      <c r="C20" s="108" t="str">
        <f>Start!$D$24</f>
        <v>Please select</v>
      </c>
      <c r="D20" s="109" t="str">
        <f>'Biodiversity Assessment'!G35</f>
        <v>Select land use</v>
      </c>
      <c r="E20" s="109" t="str">
        <f>IF(OR(D20=Data!$E$4,D20=Data!$E$5,D20=Data!$E$6,D20=Data!$E$7),Data!$E$4,IF(OR(D20=Data!$E$9,D20=Data!$E$10,D20=Data!$E$11),Data!$E$9,IF(OR(D20=Data!$E$12,D20=Data!$E$13,D20=Data!$E$14),"Cropland",IF(OR(D20=Data!$E$16,D20=Data!$E$17),"Agroforestry",D20))))</f>
        <v>Select land use</v>
      </c>
      <c r="F20" s="109" t="str">
        <f t="shared" si="0"/>
        <v>Please selectPlease selectSelect land use</v>
      </c>
      <c r="G20" s="122">
        <f>IFERROR(IF(E20='ESVD - Land Use &amp; Climate Match'!$A$1,IF('Biodiversity Assessment'!$J$102&gt;0,'Biodiversity Assessment'!$J$102*VLOOKUP('ESVD - Social Value of Bio'!F20&amp;"1",'ESVD - SUMMARY TABLE'!$E$2:$G$294,3,),0)+IF('Biodiversity Assessment'!$J$103&gt;0,'Biodiversity Assessment'!$J$103*VLOOKUP('ESVD - Social Value of Bio'!F20&amp;"2",'ESVD - SUMMARY TABLE'!$E$2:$G$294,3,),0)+IF('Biodiversity Assessment'!$J$104&gt;0,'Biodiversity Assessment'!$J$104*VLOOKUP('ESVD - Social Value of Bio'!F20&amp;"3",'ESVD - SUMMARY TABLE'!$E$2:$G$294,3,),0)+IF('Biodiversity Assessment'!$J$105&gt;0,'Biodiversity Assessment'!$J$105*VLOOKUP('ESVD - Social Value of Bio'!F20&amp;"4",'ESVD - SUMMARY TABLE'!$E$2:$G$294,3,),0),IF(E20='ESVD - Land Use &amp; Climate Match'!$A$11,IF('Biodiversity Assessment'!$Z$102&gt;0,'Biodiversity Assessment'!$Z$102*VLOOKUP('ESVD - Social Value of Bio'!F20&amp;"1",'ESVD - SUMMARY TABLE'!$E$2:$G$294,3,FALSE),0)+IF('Biodiversity Assessment'!$Z$103&gt;0,'Biodiversity Assessment'!$Z$103*VLOOKUP('ESVD - Social Value of Bio'!F20&amp;"2",'ESVD - SUMMARY TABLE'!$E$2:$G$294,3,FALSE),0)+IF('Biodiversity Assessment'!$Z$104&gt;0,'Biodiversity Assessment'!$Z$104*VLOOKUP('ESVD - Social Value of Bio'!F20&amp;"3",'ESVD - SUMMARY TABLE'!$E$2:$G$294,3,FALSE),0)+IF('Biodiversity Assessment'!$Z$105&gt;0,'Biodiversity Assessment'!$Z$105*VLOOKUP('ESVD - Social Value of Bio'!F20&amp;"4",'ESVD - SUMMARY TABLE'!$E$2:$G$294,3,FALSE),0),IF(E20='ESVD - Land Use &amp; Climate Match'!$A$32,IF('Biodiversity Assessment'!$BD$102&gt;0,'Biodiversity Assessment'!$BD$102*VLOOKUP('ESVD - Social Value of Bio'!F20&amp;"1",'ESVD - SUMMARY TABLE'!$E$2:$G$294,3,FALSE),0)+IF('Biodiversity Assessment'!$BD$103&gt;0,'Biodiversity Assessment'!$BD$103*VLOOKUP('ESVD - Social Value of Bio'!F20&amp;"2",'ESVD - SUMMARY TABLE'!$E$2:$G$294,3,FALSE),0)+IF('Biodiversity Assessment'!$BD$104&gt;0,'Biodiversity Assessment'!$BD$104*VLOOKUP('ESVD - Social Value of Bio'!F20&amp;"3",'ESVD - SUMMARY TABLE'!$E$2:$G$294,3,FALSE),0)+IF('Biodiversity Assessment'!$BD$105&gt;0,'Biodiversity Assessment'!$BD$105*VLOOKUP('ESVD - Social Value of Bio'!F20&amp;"4",'ESVD - SUMMARY TABLE'!$E$2:$G$294,3,FALSE),0)+IF('Biodiversity Assessment'!$BD$106&gt;0,'Biodiversity Assessment'!$BD$106*VLOOKUP('ESVD - Social Value of Bio'!F20&amp;"5",'ESVD - SUMMARY TABLE'!$E$2:$G$294,3,FALSE),0),AVERAGE(IF('Biodiversity Assessment'!$J$102&gt;0,'Biodiversity Assessment'!$J$102*VLOOKUP(CONCATENATE($B20,$C20,'ESVD - Land Use &amp; Climate Match'!$A$1)&amp;"1",'ESVD - SUMMARY TABLE'!$E$2:$G$294,3,),0)+IF('Biodiversity Assessment'!$J$103&gt;0,'Biodiversity Assessment'!$J$103*VLOOKUP(CONCATENATE($B20,$C20,'ESVD - Land Use &amp; Climate Match'!$A$1)&amp;"2",'ESVD - SUMMARY TABLE'!$E$2:$G$294,3,),0)+IF('Biodiversity Assessment'!$J$104&gt;0,'Biodiversity Assessment'!$J$104*VLOOKUP(CONCATENATE($B20,$C20,'ESVD - Land Use &amp; Climate Match'!$A$1)&amp;"3",'ESVD - SUMMARY TABLE'!$E$2:$G$294,3,),0)+IF('Biodiversity Assessment'!$J$105&gt;0,'Biodiversity Assessment'!$J$105*VLOOKUP(CONCATENATE($B20,$C20,'ESVD - Land Use &amp; Climate Match'!$A$1)&amp;"4",'ESVD - SUMMARY TABLE'!$E$2:$G$294,3,),0),IF('Biodiversity Assessment'!$Z$102&gt;0,'Biodiversity Assessment'!$Z$102*VLOOKUP(CONCATENATE($B20,$C20,'ESVD - Land Use &amp; Climate Match'!$A$11)&amp;"1",'ESVD - SUMMARY TABLE'!$E$2:$G$294,3,FALSE),0)+IF('Biodiversity Assessment'!$Z$103&gt;0,'Biodiversity Assessment'!$Z$103*VLOOKUP(CONCATENATE($B20,$C20,'ESVD - Land Use &amp; Climate Match'!$A$11)&amp;"2",'ESVD - SUMMARY TABLE'!$E$2:$G$294,3,FALSE),0)+IF('Biodiversity Assessment'!$Z$104&gt;0,'Biodiversity Assessment'!$Z$104*VLOOKUP(CONCATENATE($B20,$C20,'ESVD - Land Use &amp; Climate Match'!$A$11)&amp;"3",'ESVD - SUMMARY TABLE'!$E$2:$G$294,3,FALSE),0)+IF('Biodiversity Assessment'!$Z$105&gt;0,'Biodiversity Assessment'!$Z$105*VLOOKUP(CONCATENATE($B20,$C20,'ESVD - Land Use &amp; Climate Match'!$A$11)&amp;"4",'ESVD - SUMMARY TABLE'!$E$2:$G$294,3,FALSE),0),IF('Biodiversity Assessment'!$BD$102&gt;0,'Biodiversity Assessment'!$BD$102*VLOOKUP(CONCATENATE($B20,$C20,'ESVD - Land Use &amp; Climate Match'!$A$32)&amp;"1",'ESVD - SUMMARY TABLE'!$E$2:$G$294,3,FALSE),0)+IF('Biodiversity Assessment'!$BD$103&gt;0,'Biodiversity Assessment'!$BD$103*VLOOKUP(CONCATENATE($B20,$C20,'ESVD - Land Use &amp; Climate Match'!$A$32)&amp;"2",'ESVD - SUMMARY TABLE'!$E$2:$G$294,3,FALSE),0)+IF('Biodiversity Assessment'!$BD$104&gt;0,'Biodiversity Assessment'!$BD$104*VLOOKUP(CONCATENATE($B20,$C20,'ESVD - Land Use &amp; Climate Match'!$A$32)&amp;"3",'ESVD - SUMMARY TABLE'!$E$2:$G$294,3,FALSE),0)+IF('Biodiversity Assessment'!$BD$105&gt;0,'Biodiversity Assessment'!$BD$105*VLOOKUP(CONCATENATE($B20,$C20,'ESVD - Land Use &amp; Climate Match'!$A$32)&amp;"4",'ESVD - SUMMARY TABLE'!$E$2:$G$294,3,FALSE),0)+IF('Biodiversity Assessment'!$BD$106&gt;0,'Biodiversity Assessment'!$BD$106*VLOOKUP(CONCATENATE($B20,$C20,'ESVD - Land Use &amp; Climate Match'!$A$32)&amp;"5",'ESVD - SUMMARY TABLE'!$E$2:$G$294,3,FALSE)))))),0)</f>
        <v>0</v>
      </c>
      <c r="H20" s="122">
        <f>IFERROR(IF(E20='ESVD - Land Use &amp; Climate Match'!$A$1,IF(SUM('Biodiversity Assessment'!$O$102:$P$105)=SUM('Biodiversity Assessment'!$J$102:$M$105),IF('Biodiversity Assessment'!$O$102&gt;0,'Biodiversity Assessment'!$O$102*VLOOKUP('ESVD - Social Value of Bio'!F20&amp;"1",'ESVD - SUMMARY TABLE'!$E$2:$G$294,3,),0)+IF('Biodiversity Assessment'!$O$103&gt;0,'Biodiversity Assessment'!$O$103*VLOOKUP('ESVD - Social Value of Bio'!F20&amp;"2",'ESVD - SUMMARY TABLE'!$E$2:$G$294,3,),0)+IF('Biodiversity Assessment'!$O$104&gt;0,'Biodiversity Assessment'!$O$104*VLOOKUP('ESVD - Social Value of Bio'!F20&amp;"3",'ESVD - SUMMARY TABLE'!$E$2:$G$294,3,),0)+IF('Biodiversity Assessment'!$O$105&gt;0,'Biodiversity Assessment'!$O$105*VLOOKUP('ESVD - Social Value of Bio'!F20&amp;"4",'ESVD - SUMMARY TABLE'!$E$2:$G$294,3,),0),0),IF(E20='ESVD - Land Use &amp; Climate Match'!$A$11,IF(SUM('Biodiversity Assessment'!$AH$102:$AN$105)=SUM('Biodiversity Assessment'!$Z$102:$AF$105),IF('Biodiversity Assessment'!$AH$102&gt;0,'Biodiversity Assessment'!$AH$102*VLOOKUP('ESVD - Social Value of Bio'!F20&amp;"1",'ESVD - SUMMARY TABLE'!$E$2:$G$294,3,FALSE),0)+IF('Biodiversity Assessment'!$AH$103&gt;0,'Biodiversity Assessment'!$AH$103*VLOOKUP('ESVD - Social Value of Bio'!F20&amp;"2",'ESVD - SUMMARY TABLE'!$E$2:$G$294,3,FALSE),0)+IF('Biodiversity Assessment'!$AH$104&gt;0,'Biodiversity Assessment'!$AH$104*VLOOKUP('ESVD - Social Value of Bio'!F20&amp;"3",'ESVD - SUMMARY TABLE'!$E$2:$G$294,3,FALSE),0)+IF('Biodiversity Assessment'!$AH$105&gt;0,'Biodiversity Assessment'!$AH$105*VLOOKUP('ESVD - Social Value of Bio'!F20&amp;"4",'ESVD - SUMMARY TABLE'!$E$2:$G$294,3,FALSE),0),0),IF(E20='ESVD - Land Use &amp; Climate Match'!$A$32,IF(SUM('Biodiversity Assessment'!$BF$102:$BF$106)=SUM('Biodiversity Assessment'!$BD$102:$BD$106),IF('Biodiversity Assessment'!$BF$102&gt;0,'Biodiversity Assessment'!$BF$102*VLOOKUP('ESVD - Social Value of Bio'!F20&amp;"1",'ESVD - SUMMARY TABLE'!$E$2:$G$294,3,FALSE),0)+IF('Biodiversity Assessment'!$BF$103&gt;0,'Biodiversity Assessment'!$BF$103*VLOOKUP('ESVD - Social Value of Bio'!F20&amp;"2",'ESVD - SUMMARY TABLE'!$E$2:$G$294,3,FALSE),0)+IF('Biodiversity Assessment'!$BF$104&gt;0,'Biodiversity Assessment'!$BF$104*VLOOKUP('ESVD - Social Value of Bio'!F20&amp;"3",'ESVD - SUMMARY TABLE'!$E$2:$G$294,3,FALSE),0)+IF('Biodiversity Assessment'!$BF$105&gt;0,'Biodiversity Assessment'!$BF$105*VLOOKUP('ESVD - Social Value of Bio'!F20&amp;"4",'ESVD - SUMMARY TABLE'!$E$2:$G$294,3,FALSE),0)+IF('Biodiversity Assessment'!$BF$106&gt;0,'Biodiversity Assessment'!$BF$106*VLOOKUP('ESVD - Social Value of Bio'!F20&amp;"5",'ESVD - SUMMARY TABLE'!$E$2:$G$294,3,FALSE),0),0),AVERAGE(IF(SUM('Biodiversity Assessment'!$O$102:$P$105)=SUM('Biodiversity Assessment'!$J$102:$M$105),IF('Biodiversity Assessment'!$O$102&gt;0,'Biodiversity Assessment'!$O$102*VLOOKUP(CONCATENATE($B20,$C20,'ESVD - Land Use &amp; Climate Match'!$A$1)&amp;"1",'ESVD - SUMMARY TABLE'!$E$2:$G$294,3,),0)+IF('Biodiversity Assessment'!$O$103&gt;0,'Biodiversity Assessment'!$O$103*VLOOKUP(CONCATENATE($B20,$C20,'ESVD - Land Use &amp; Climate Match'!$A$1)&amp;"2",'ESVD - SUMMARY TABLE'!$E$2:$G$294,3,),0)+IF('Biodiversity Assessment'!$O$104&gt;0,'Biodiversity Assessment'!$O$104*VLOOKUP(CONCATENATE($B20,$C20,'ESVD - Land Use &amp; Climate Match'!$A$1)&amp;"3",'ESVD - SUMMARY TABLE'!$E$2:$G$294,3,),0)+IF('Biodiversity Assessment'!$O$105&gt;0,'Biodiversity Assessment'!$O$105*VLOOKUP(CONCATENATE($B20,$C20,'ESVD - Land Use &amp; Climate Match'!$A$1)&amp;"4",'ESVD - SUMMARY TABLE'!$E$2:$G$294,3,),0),0),IF(SUM('Biodiversity Assessment'!$AH$102:$AN$105)=SUM('Biodiversity Assessment'!$Z$102:$AF$105),IF('Biodiversity Assessment'!$AH$102&gt;0,'Biodiversity Assessment'!$AH$102*VLOOKUP(CONCATENATE($B20,$C20,'ESVD - Land Use &amp; Climate Match'!$A$11)&amp;"1",'ESVD - SUMMARY TABLE'!$E$2:$G$294,3,FALSE),0)+IF('Biodiversity Assessment'!$AH$103&gt;0,'Biodiversity Assessment'!$AH$103*VLOOKUP(CONCATENATE($B20,$C20,'ESVD - Land Use &amp; Climate Match'!$A$11)&amp;"2",'ESVD - SUMMARY TABLE'!$E$2:$G$294,3,FALSE),0)+IF('Biodiversity Assessment'!$AH$104&gt;0,'Biodiversity Assessment'!$AH$104*VLOOKUP(CONCATENATE($B20,$C20,'ESVD - Land Use &amp; Climate Match'!$A$11)&amp;"3",'ESVD - SUMMARY TABLE'!$E$2:$G$294,3,FALSE),0)+IF('Biodiversity Assessment'!$AH$105&gt;0,'Biodiversity Assessment'!$AH$105*VLOOKUP(CONCATENATE($B20,$C20,'ESVD - Land Use &amp; Climate Match'!$A$11)&amp;"4",'ESVD - SUMMARY TABLE'!$E$2:$G$294,3,FALSE),0),0),IF(SUM('Biodiversity Assessment'!$BF$102:$BF$106)=SUM('Biodiversity Assessment'!$BD$102:$BD$106),IF('Biodiversity Assessment'!$BF$102&gt;0,'Biodiversity Assessment'!$BF$102*VLOOKUP(CONCATENATE($B20,$C20,'ESVD - Land Use &amp; Climate Match'!$A$32)&amp;"1",'ESVD - SUMMARY TABLE'!$E$2:$G$294,3,FALSE),0)+IF('Biodiversity Assessment'!$BF$103&gt;0,'Biodiversity Assessment'!$BF$103*VLOOKUP(CONCATENATE($B20,$C20,'ESVD - Land Use &amp; Climate Match'!$A$32)&amp;"2",'ESVD - SUMMARY TABLE'!$E$2:$G$294,3,FALSE),0)+IF('Biodiversity Assessment'!$BF$104&gt;0,'Biodiversity Assessment'!$BF$104*VLOOKUP(CONCATENATE($B20,$C20,'ESVD - Land Use &amp; Climate Match'!$A$32)&amp;"3",'ESVD - SUMMARY TABLE'!$E$2:$G$294,3,FALSE),0)+IF('Biodiversity Assessment'!$BF$105&gt;0,'Biodiversity Assessment'!$BF$105*VLOOKUP(CONCATENATE($B20,$C20,'ESVD - Land Use &amp; Climate Match'!$A$32)&amp;"4",'ESVD - SUMMARY TABLE'!$E$2:$G$294,3,FALSE),0)+IF('Biodiversity Assessment'!$BF$106&gt;0,'Biodiversity Assessment'!$BF$106*VLOOKUP(CONCATENATE($B20,$C20,'ESVD - Land Use &amp; Climate Match'!$A$32)&amp;"5",'ESVD - SUMMARY TABLE'!$E$2:$G$294,3,FALSE),0),0))))),0)</f>
        <v>0</v>
      </c>
      <c r="I20" s="122">
        <f>'Biodiversity Assessment'!CR35</f>
        <v>0</v>
      </c>
      <c r="J20" s="122">
        <f>IFERROR(IF(I20&gt;0,I20*'Biodiversity Assessment'!$M35,IF(H20&gt;0,H20*'Biodiversity Assessment'!$M35,G20*'Biodiversity Assessment'!$M35)),0)</f>
        <v>0</v>
      </c>
      <c r="K20" s="454"/>
      <c r="L20" s="123">
        <f>IFERROR(IF(E20='ESVD - Land Use &amp; Climate Match'!$A$1,IF('Biodiversity Assessment'!$J$102&gt;0,'Biodiversity Assessment'!$J$102*VLOOKUP('ESVD - Social Value of Bio'!F20&amp;"1",'ESVD - SUMMARY TABLE'!$E$2:$G$294,3,),0)+IF('Biodiversity Assessment'!$J$103&gt;0,'Biodiversity Assessment'!$J$103*VLOOKUP('ESVD - Social Value of Bio'!F20&amp;"2",'ESVD - SUMMARY TABLE'!$E$2:$G$294,3,),0)+IF('Biodiversity Assessment'!$J$104&gt;0,'Biodiversity Assessment'!$J$104*VLOOKUP('ESVD - Social Value of Bio'!F20&amp;"3",'ESVD - SUMMARY TABLE'!$E$2:$G$294,3,),0)+IF('Biodiversity Assessment'!$J$105&gt;0,'Biodiversity Assessment'!$J$105*VLOOKUP('ESVD - Social Value of Bio'!F20&amp;"4",'ESVD - SUMMARY TABLE'!$E$2:$G$294,3,),0),IF(E20='ESVD - Land Use &amp; Climate Match'!$A$11,IF('Biodiversity Assessment'!$Z$102&gt;0,'Biodiversity Assessment'!$Z$102*VLOOKUP('ESVD - Social Value of Bio'!F20&amp;"1",'ESVD - SUMMARY TABLE'!$E$2:$G$294,3,FALSE),0)+IF('Biodiversity Assessment'!$Z$103&gt;0,'Biodiversity Assessment'!$Z$103*VLOOKUP('ESVD - Social Value of Bio'!F20&amp;"2",'ESVD - SUMMARY TABLE'!$E$2:$G$294,3,FALSE),0)+IF('Biodiversity Assessment'!$Z$104&gt;0,'Biodiversity Assessment'!$Z$104*VLOOKUP('ESVD - Social Value of Bio'!F20&amp;"3",'ESVD - SUMMARY TABLE'!$E$2:$G$294,3,FALSE),0)+IF('Biodiversity Assessment'!$Z$105&gt;0,'Biodiversity Assessment'!$Z$105*VLOOKUP('ESVD - Social Value of Bio'!F20&amp;"4",'ESVD - SUMMARY TABLE'!$E$2:$G$294,3,FALSE),0),IF(E20='ESVD - Land Use &amp; Climate Match'!$A$32,IF('Biodiversity Assessment'!$BD$102&gt;0,'Biodiversity Assessment'!$BD$102*VLOOKUP('ESVD - Social Value of Bio'!F20&amp;"1",'ESVD - SUMMARY TABLE'!$E$2:$G$294,3,FALSE),0)+IF('Biodiversity Assessment'!$BD$103&gt;0,'Biodiversity Assessment'!$BD$103*VLOOKUP('ESVD - Social Value of Bio'!F20&amp;"2",'ESVD - SUMMARY TABLE'!$E$2:$G$294,3,FALSE),0)+IF('Biodiversity Assessment'!$BD$104&gt;0,'Biodiversity Assessment'!$BD$104*VLOOKUP('ESVD - Social Value of Bio'!F20&amp;"3",'ESVD - SUMMARY TABLE'!$E$2:$G$294,3,FALSE),0)+IF('Biodiversity Assessment'!$BD$105&gt;0,'Biodiversity Assessment'!$BD$105*VLOOKUP('ESVD - Social Value of Bio'!F20&amp;"4",'ESVD - SUMMARY TABLE'!$E$2:$G$294,3,FALSE),0)+IF('Biodiversity Assessment'!$BD$106&gt;0,'Biodiversity Assessment'!$BD$106*VLOOKUP('ESVD - Social Value of Bio'!F20&amp;"5",'ESVD - SUMMARY TABLE'!$E$2:$G$294,3,FALSE),0),VLOOKUP('ESVD - Social Value of Bio'!F20&amp;"1",'ESVD - SUMMARY TABLE'!$E$2:$G$294,3,FALSE)))),0)</f>
        <v>0</v>
      </c>
      <c r="M20" s="123">
        <f>IFERROR(IF(E20='ESVD - Land Use &amp; Climate Match'!$A$1,IF(SUM('Biodiversity Assessment'!$O$102:$P$105)=SUM('Biodiversity Assessment'!$J$102:$M$105),IF('Biodiversity Assessment'!$O$102&gt;0,'Biodiversity Assessment'!$O$102*VLOOKUP('ESVD - Social Value of Bio'!F20&amp;"1",'ESVD - SUMMARY TABLE'!$E$2:$G$294,3,),0)+IF('Biodiversity Assessment'!$O$103&gt;0,'Biodiversity Assessment'!$O$103*VLOOKUP('ESVD - Social Value of Bio'!F20&amp;"2",'ESVD - SUMMARY TABLE'!$E$2:$G$294,3,),0)+IF('Biodiversity Assessment'!$O$104&gt;0,'Biodiversity Assessment'!$O$104*VLOOKUP('ESVD - Social Value of Bio'!F20&amp;"3",'ESVD - SUMMARY TABLE'!$E$2:$G$294,3,),0)+IF('Biodiversity Assessment'!$O$105&gt;0,'Biodiversity Assessment'!$O$105*VLOOKUP('ESVD - Social Value of Bio'!F20&amp;"4",'ESVD - SUMMARY TABLE'!$E$2:$G$294,3,),0),0),IF(E20='ESVD - Land Use &amp; Climate Match'!$A$11,IF(SUM('Biodiversity Assessment'!$AH$102:$AN$105)=SUM('Biodiversity Assessment'!$Z$102:$AF$105),IF('Biodiversity Assessment'!$AH$102&gt;0,'Biodiversity Assessment'!$AH$102*VLOOKUP('ESVD - Social Value of Bio'!F20&amp;"1",'ESVD - SUMMARY TABLE'!$E$2:$G$294,3,FALSE),0)+IF('Biodiversity Assessment'!$AH$103&gt;0,'Biodiversity Assessment'!$AH$103*VLOOKUP('ESVD - Social Value of Bio'!F20&amp;"2",'ESVD - SUMMARY TABLE'!$E$2:$G$294,3,FALSE),0)+IF('Biodiversity Assessment'!$AH$104&gt;0,'Biodiversity Assessment'!$AH$104*VLOOKUP('ESVD - Social Value of Bio'!F20&amp;"3",'ESVD - SUMMARY TABLE'!$E$2:$G$294,3,FALSE),0)+IF('Biodiversity Assessment'!$AH$105&gt;0,'Biodiversity Assessment'!$AH$105*VLOOKUP('ESVD - Social Value of Bio'!F20&amp;"4",'ESVD - SUMMARY TABLE'!$E$2:$G$294,3,FALSE),0),0),IF(E20='ESVD - Land Use &amp; Climate Match'!$A$32,IF(SUM('Biodiversity Assessment'!$BF$102:$BF$106)=SUM('Biodiversity Assessment'!$BD$102:$BD$106),IF('Biodiversity Assessment'!$BF$102&gt;0,'Biodiversity Assessment'!$BF$102*VLOOKUP('ESVD - Social Value of Bio'!F20&amp;"1",'ESVD - SUMMARY TABLE'!$E$2:$G$294,3,FALSE),0)+IF('Biodiversity Assessment'!$BF$103&gt;0,'Biodiversity Assessment'!$BF$103*VLOOKUP('ESVD - Social Value of Bio'!F20&amp;"2",'ESVD - SUMMARY TABLE'!$E$2:$G$294,3,FALSE),0)+IF('Biodiversity Assessment'!$BF$104&gt;0,'Biodiversity Assessment'!$BF$104*VLOOKUP('ESVD - Social Value of Bio'!F20&amp;"3",'ESVD - SUMMARY TABLE'!$E$2:$G$294,3,FALSE),0)+IF('Biodiversity Assessment'!$BF$105&gt;0,'Biodiversity Assessment'!$BF$105*VLOOKUP('ESVD - Social Value of Bio'!F20&amp;"4",'ESVD - SUMMARY TABLE'!$E$2:$G$294,3,FALSE),0)+IF('Biodiversity Assessment'!$BF$106&gt;0,'Biodiversity Assessment'!$BF$106*VLOOKUP('ESVD - Social Value of Bio'!F20&amp;"5",'ESVD - SUMMARY TABLE'!$E$2:$G$294,3,FALSE),0),0),VLOOKUP('ESVD - Social Value of Bio'!F20&amp;"1",'ESVD - SUMMARY TABLE'!$E$2:$G$294,3,FALSE)))),0)</f>
        <v>0</v>
      </c>
      <c r="N20" s="123">
        <f>'Biodiversity Assessment'!CR35</f>
        <v>0</v>
      </c>
      <c r="O20" s="124">
        <f>IFERROR(IF(N20&gt;0,N20*'Biodiversity Assessment'!M35,IF(M20&gt;0,M20*'Biodiversity Assessment'!M35,L20*'Biodiversity Assessment'!M35)),0)</f>
        <v>0</v>
      </c>
      <c r="P20" s="456"/>
      <c r="R20" s="108" t="str">
        <f>'Biodiversity Assessment'!O35</f>
        <v>Select land use</v>
      </c>
      <c r="S20" s="109" t="str">
        <f>IF(OR(R20=Data!$E$4,R20=Data!$E$5,R20=Data!$E$6,R20=Data!$E$7),Data!$E$4,IF(OR(R20=Data!$E$9,R20=Data!$E$10,R20=Data!$E$11),Data!$E$9,IF(OR(R20=Data!$E$12,R20=Data!$E$13,R20=Data!$E$14),"Cropland",IF(OR(R20=Data!$E$16,R20=Data!$E$17),"Agroforestry",R20))))</f>
        <v>Select land use</v>
      </c>
      <c r="T20" s="109" t="str">
        <f t="shared" si="1"/>
        <v>Please selectPlease selectSelect land use</v>
      </c>
      <c r="U20" s="122">
        <f>IFERROR(IF(S20='ESVD - Land Use &amp; Climate Match'!$A$1,IF('Biodiversity Assessment'!$J$102&gt;0,'Biodiversity Assessment'!$J$102*VLOOKUP('ESVD - Social Value of Bio'!T20&amp;"1",'ESVD - SUMMARY TABLE'!$E$2:$G$294,3,),0)+IF('Biodiversity Assessment'!$J$103&gt;0,'Biodiversity Assessment'!$J$103*VLOOKUP('ESVD - Social Value of Bio'!T20&amp;"2",'ESVD - SUMMARY TABLE'!$E$2:$G$294,3,),0)+IF('Biodiversity Assessment'!$J$104&gt;0,'Biodiversity Assessment'!$J$104*VLOOKUP('ESVD - Social Value of Bio'!T20&amp;"3",'ESVD - SUMMARY TABLE'!$E$2:$G$294,3,),0)+IF('Biodiversity Assessment'!$J$105&gt;0,'Biodiversity Assessment'!$J$105*VLOOKUP('ESVD - Social Value of Bio'!T20&amp;"4",'ESVD - SUMMARY TABLE'!$E$2:$G$294,3,),0),IF(S20='ESVD - Land Use &amp; Climate Match'!$A$11,IF('Biodiversity Assessment'!$Z$102&gt;0,'Biodiversity Assessment'!$Z$102*VLOOKUP('ESVD - Social Value of Bio'!T20&amp;"1",'ESVD - SUMMARY TABLE'!$E$2:$G$294,3,FALSE),0)+IF('Biodiversity Assessment'!$Z$103&gt;0,'Biodiversity Assessment'!$Z$103*VLOOKUP('ESVD - Social Value of Bio'!T20&amp;"2",'ESVD - SUMMARY TABLE'!$E$2:$G$294,3,FALSE),0)+IF('Biodiversity Assessment'!$Z$104&gt;0,'Biodiversity Assessment'!$Z$104*VLOOKUP('ESVD - Social Value of Bio'!T20&amp;"3",'ESVD - SUMMARY TABLE'!$E$2:$G$294,3,FALSE),0)+IF('Biodiversity Assessment'!$Z$105&gt;0,'Biodiversity Assessment'!$Z$105*VLOOKUP('ESVD - Social Value of Bio'!T20&amp;"4",'ESVD - SUMMARY TABLE'!$E$2:$G$294,3,FALSE),0),IF(S20='ESVD - Land Use &amp; Climate Match'!$A$32,IF('Biodiversity Assessment'!$BD$102&gt;0,'Biodiversity Assessment'!$BD$102*VLOOKUP('ESVD - Social Value of Bio'!T20&amp;"1",'ESVD - SUMMARY TABLE'!$E$2:$G$294,3,FALSE),0)+IF('Biodiversity Assessment'!$BD$103&gt;0,'Biodiversity Assessment'!$BD$103*VLOOKUP('ESVD - Social Value of Bio'!T20&amp;"2",'ESVD - SUMMARY TABLE'!$E$2:$G$294,3,FALSE),0)+IF('Biodiversity Assessment'!$BD$104&gt;0,'Biodiversity Assessment'!$BD$104*VLOOKUP('ESVD - Social Value of Bio'!T20&amp;"3",'ESVD - SUMMARY TABLE'!$E$2:$G$294,3,FALSE),0)+IF('Biodiversity Assessment'!$BD$105&gt;0,'Biodiversity Assessment'!$BD$105*VLOOKUP('ESVD - Social Value of Bio'!T20&amp;"4",'ESVD - SUMMARY TABLE'!$E$2:$G$294,3,FALSE),0)+IF('Biodiversity Assessment'!$BD$106&gt;0,'Biodiversity Assessment'!$BD$106*VLOOKUP('ESVD - Social Value of Bio'!T20&amp;"5",'ESVD - SUMMARY TABLE'!$E$2:$G$294,3,FALSE),0),AVERAGE(IF('Biodiversity Assessment'!$J$102&gt;0,'Biodiversity Assessment'!$J$102*VLOOKUP(CONCATENATE(B20,C20,'ESVD - Land Use &amp; Climate Match'!$A$1)&amp;"1",'ESVD - SUMMARY TABLE'!$E$2:$G$294,3,),0)+IF('Biodiversity Assessment'!$J$103&gt;0,'Biodiversity Assessment'!$J$103*VLOOKUP(CONCATENATE(B20,C20,'ESVD - Land Use &amp; Climate Match'!$A$1)&amp;"2",'ESVD - SUMMARY TABLE'!$E$2:$G$294,3,),0)+IF('Biodiversity Assessment'!$J$104&gt;0,'Biodiversity Assessment'!$J$104*VLOOKUP(CONCATENATE(B20,C20,'ESVD - Land Use &amp; Climate Match'!$A$1)&amp;"3",'ESVD - SUMMARY TABLE'!$E$2:$G$294,3,),0)+IF('Biodiversity Assessment'!$J$105&gt;0,'Biodiversity Assessment'!$J$105*VLOOKUP(CONCATENATE(B20,C20,'ESVD - Land Use &amp; Climate Match'!$A$1)&amp;"4",'ESVD - SUMMARY TABLE'!$E$2:$G$294,3,),0),IF('Biodiversity Assessment'!$Z$102&gt;0,'Biodiversity Assessment'!$Z$102*VLOOKUP(CONCATENATE(B20,C20,'ESVD - Land Use &amp; Climate Match'!$A$11)&amp;"1",'ESVD - SUMMARY TABLE'!$E$2:$G$294,3,FALSE),0)+IF('Biodiversity Assessment'!$Z$103&gt;0,'Biodiversity Assessment'!$Z$103*VLOOKUP(CONCATENATE(B20,C20,'ESVD - Land Use &amp; Climate Match'!$A$11)&amp;"2",'ESVD - SUMMARY TABLE'!$E$2:$G$294,3,FALSE),0)+IF('Biodiversity Assessment'!$Z$104&gt;0,'Biodiversity Assessment'!$Z$104*VLOOKUP(CONCATENATE(B20,C20,'ESVD - Land Use &amp; Climate Match'!$A$11)&amp;"3",'ESVD - SUMMARY TABLE'!$E$2:$G$294,3,FALSE),0)+IF('Biodiversity Assessment'!$Z$105&gt;0,'Biodiversity Assessment'!$Z$105*VLOOKUP(CONCATENATE(B20,C20,'ESVD - Land Use &amp; Climate Match'!$A$11)&amp;"4",'ESVD - SUMMARY TABLE'!$E$2:$G$294,3,FALSE),0),IF('Biodiversity Assessment'!$BD$102&gt;0,'Biodiversity Assessment'!$BD$102*VLOOKUP(CONCATENATE(B20,C20,'ESVD - Land Use &amp; Climate Match'!$A$32)&amp;"1",'ESVD - SUMMARY TABLE'!$E$2:$G$294,3,FALSE),0)+IF('Biodiversity Assessment'!$BD$103&gt;0,'Biodiversity Assessment'!$BD$103*VLOOKUP(CONCATENATE(B20,C20,'ESVD - Land Use &amp; Climate Match'!$A$32)&amp;"2",'ESVD - SUMMARY TABLE'!$E$2:$G$294,3,FALSE),0)+IF('Biodiversity Assessment'!$BD$104&gt;0,'Biodiversity Assessment'!$BD$104*VLOOKUP(CONCATENATE(B20,C20,'ESVD - Land Use &amp; Climate Match'!$A$32)&amp;"3",'ESVD - SUMMARY TABLE'!$E$2:$G$294,3,FALSE),0)+IF('Biodiversity Assessment'!$BD$105&gt;0,'Biodiversity Assessment'!$BD$105*VLOOKUP(CONCATENATE(B20,C20,'ESVD - Land Use &amp; Climate Match'!$A$32)&amp;"4",'ESVD - SUMMARY TABLE'!$E$2:$G$294,3,FALSE),0)+IF('Biodiversity Assessment'!$BD$106&gt;0,'Biodiversity Assessment'!$BD$106*VLOOKUP(CONCATENATE(B20,C20,'ESVD - Land Use &amp; Climate Match'!$A$32)&amp;"5",'ESVD - SUMMARY TABLE'!$E$2:$G$294,3,FALSE)))))),0)</f>
        <v>0</v>
      </c>
      <c r="V20" s="122">
        <f>IFERROR(IF(S20='ESVD - Land Use &amp; Climate Match'!$A$1,IF(SUM('Biodiversity Assessment'!$O$102:$P$105)=SUM('Biodiversity Assessment'!$J$102:$M$105),IF('Biodiversity Assessment'!$O$102&gt;0,'Biodiversity Assessment'!$O$102*VLOOKUP('ESVD - Social Value of Bio'!T20&amp;"1",'ESVD - SUMMARY TABLE'!$E$2:$G$294,3,),0)+IF('Biodiversity Assessment'!$O$103&gt;0,'Biodiversity Assessment'!$O$103*VLOOKUP('ESVD - Social Value of Bio'!T20&amp;"2",'ESVD - SUMMARY TABLE'!$E$2:$G$294,3,),0)+IF('Biodiversity Assessment'!$O$104&gt;0,'Biodiversity Assessment'!$O$104*VLOOKUP('ESVD - Social Value of Bio'!T20&amp;"3",'ESVD - SUMMARY TABLE'!$E$2:$G$294,3,),0)+IF('Biodiversity Assessment'!$O$105&gt;0,'Biodiversity Assessment'!$O$105*VLOOKUP('ESVD - Social Value of Bio'!T20&amp;"4",'ESVD - SUMMARY TABLE'!$E$2:$G$294,3,),0),0),IF(S20='ESVD - Land Use &amp; Climate Match'!$A$11,IF(SUM('Biodiversity Assessment'!$AH$102:$AN$105)=SUM('Biodiversity Assessment'!$Z$102:$AF$105),IF('Biodiversity Assessment'!$AH$102&gt;0,'Biodiversity Assessment'!$AH$102*VLOOKUP('ESVD - Social Value of Bio'!T20&amp;"1",'ESVD - SUMMARY TABLE'!$E$2:$G$294,3,FALSE),0)+IF('Biodiversity Assessment'!$AH$103&gt;0,'Biodiversity Assessment'!$AH$103*VLOOKUP('ESVD - Social Value of Bio'!T20&amp;"2",'ESVD - SUMMARY TABLE'!$E$2:$G$294,3,FALSE),0)+IF('Biodiversity Assessment'!$AH$104&gt;0,'Biodiversity Assessment'!$AH$104*VLOOKUP('ESVD - Social Value of Bio'!T20&amp;"3",'ESVD - SUMMARY TABLE'!$E$2:$G$294,3,FALSE),0)+IF('Biodiversity Assessment'!$AH$105&gt;0,'Biodiversity Assessment'!$AH$105*VLOOKUP('ESVD - Social Value of Bio'!T20&amp;"4",'ESVD - SUMMARY TABLE'!$E$2:$G$294,3,FALSE),0),0),IF(S20='ESVD - Land Use &amp; Climate Match'!$A$32,IF(SUM('Biodiversity Assessment'!$BF$102:$BF$106)=SUM('Biodiversity Assessment'!$BD$102:$BD$106),IF('Biodiversity Assessment'!$BF$102&gt;0,'Biodiversity Assessment'!$BF$102*VLOOKUP('ESVD - Social Value of Bio'!T20&amp;"1",'ESVD - SUMMARY TABLE'!$E$2:$G$294,3,FALSE),0)+IF('Biodiversity Assessment'!$BF$103&gt;0,'Biodiversity Assessment'!$BF$103*VLOOKUP('ESVD - Social Value of Bio'!T20&amp;"2",'ESVD - SUMMARY TABLE'!$E$2:$G$294,3,FALSE),0)+IF('Biodiversity Assessment'!$BF$104&gt;0,'Biodiversity Assessment'!$BF$104*VLOOKUP('ESVD - Social Value of Bio'!T20&amp;"3",'ESVD - SUMMARY TABLE'!$E$2:$G$294,3,FALSE),0)+IF('Biodiversity Assessment'!$BF$105&gt;0,'Biodiversity Assessment'!$BF$105*VLOOKUP('ESVD - Social Value of Bio'!T20&amp;"4",'ESVD - SUMMARY TABLE'!$E$2:$G$294,3,FALSE),0)+IF('Biodiversity Assessment'!$BF$106&gt;0,'Biodiversity Assessment'!$BF$106*VLOOKUP('ESVD - Social Value of Bio'!T20&amp;"5",'ESVD - SUMMARY TABLE'!$E$2:$G$294,3,FALSE),0),0),AVERAGE(IF(SUM('Biodiversity Assessment'!$O$102:$P$105)=SUM('Biodiversity Assessment'!$J$102:$M$105),IF('Biodiversity Assessment'!$O$102&gt;0,'Biodiversity Assessment'!$O$102*VLOOKUP(CONCATENATE($B20,$C20,'ESVD - Land Use &amp; Climate Match'!$A$1)&amp;"1",'ESVD - SUMMARY TABLE'!$E$2:$G$294,3,),0)+IF('Biodiversity Assessment'!$O$103&gt;0,'Biodiversity Assessment'!$O$103*VLOOKUP(CONCATENATE($B20,$C20,'ESVD - Land Use &amp; Climate Match'!$A$1)&amp;"2",'ESVD - SUMMARY TABLE'!$E$2:$G$294,3,),0)+IF('Biodiversity Assessment'!$O$104&gt;0,'Biodiversity Assessment'!$O$104*VLOOKUP(CONCATENATE($B20,$C20,'ESVD - Land Use &amp; Climate Match'!$A$1)&amp;"3",'ESVD - SUMMARY TABLE'!$E$2:$G$294,3,),0)+IF('Biodiversity Assessment'!$O$105&gt;0,'Biodiversity Assessment'!$O$105*VLOOKUP(CONCATENATE($B20,$C20,'ESVD - Land Use &amp; Climate Match'!$A$1)&amp;"4",'ESVD - SUMMARY TABLE'!$E$2:$G$294,3,),0),0),IF(SUM('Biodiversity Assessment'!$AH$102:$AN$105)=SUM('Biodiversity Assessment'!$Z$102:$AF$105),IF('Biodiversity Assessment'!$AH$102&gt;0,'Biodiversity Assessment'!$AH$102*VLOOKUP(CONCATENATE($B20,$C20,'ESVD - Land Use &amp; Climate Match'!$A$11)&amp;"1",'ESVD - SUMMARY TABLE'!$E$2:$G$294,3,FALSE),0)+IF('Biodiversity Assessment'!$AH$103&gt;0,'Biodiversity Assessment'!$AH$103*VLOOKUP(CONCATENATE($B20,$C20,'ESVD - Land Use &amp; Climate Match'!$A$11)&amp;"2",'ESVD - SUMMARY TABLE'!$E$2:$G$294,3,FALSE),0)+IF('Biodiversity Assessment'!$AH$104&gt;0,'Biodiversity Assessment'!$AH$104*VLOOKUP(CONCATENATE($B20,$C20,'ESVD - Land Use &amp; Climate Match'!$A$11)&amp;"3",'ESVD - SUMMARY TABLE'!$E$2:$G$294,3,FALSE),0)+IF('Biodiversity Assessment'!$AH$105&gt;0,'Biodiversity Assessment'!$AH$105*VLOOKUP(CONCATENATE($B20,$C20,'ESVD - Land Use &amp; Climate Match'!$A$11)&amp;"4",'ESVD - SUMMARY TABLE'!$E$2:$G$294,3,FALSE),0),0),IF(SUM('Biodiversity Assessment'!$BF$102:$BF$106)=SUM('Biodiversity Assessment'!$BD$102:$BD$106),IF('Biodiversity Assessment'!$BF$102&gt;0,'Biodiversity Assessment'!$BF$102*VLOOKUP(CONCATENATE($B20,$C20,'ESVD - Land Use &amp; Climate Match'!$A$32)&amp;"1",'ESVD - SUMMARY TABLE'!$E$2:$G$294,3,FALSE),0)+IF('Biodiversity Assessment'!$BF$103&gt;0,'Biodiversity Assessment'!$BF$103*VLOOKUP(CONCATENATE($B20,$C20,'ESVD - Land Use &amp; Climate Match'!$A$32)&amp;"2",'ESVD - SUMMARY TABLE'!$E$2:$G$294,3,FALSE),0)+IF('Biodiversity Assessment'!$BF$104&gt;0,'Biodiversity Assessment'!$BF$104*VLOOKUP(CONCATENATE($B20,$C20,'ESVD - Land Use &amp; Climate Match'!$A$32)&amp;"3",'ESVD - SUMMARY TABLE'!$E$2:$G$294,3,FALSE),0)+IF('Biodiversity Assessment'!$BF$105&gt;0,'Biodiversity Assessment'!$BF$105*VLOOKUP(CONCATENATE($B20,$C20,'ESVD - Land Use &amp; Climate Match'!$A$32)&amp;"4",'ESVD - SUMMARY TABLE'!$E$2:$G$294,3,FALSE),0)+IF('Biodiversity Assessment'!$BF$106&gt;0,'Biodiversity Assessment'!$BF$106*VLOOKUP(CONCATENATE($B20,$C20,'ESVD - Land Use &amp; Climate Match'!$A$32)&amp;"5",'ESVD - SUMMARY TABLE'!$E$2:$G$294,3,FALSE),0),0))))),0)</f>
        <v>0</v>
      </c>
      <c r="W20" s="122">
        <f>'Biodiversity Assessment'!CX35</f>
        <v>0</v>
      </c>
      <c r="X20" s="122">
        <f>IFERROR(IF(W20&gt;0,W20*'Biodiversity Assessment'!$U35,IF(V20&gt;0,V20*'Biodiversity Assessment'!$U35,U20*'Biodiversity Assessment'!$U35)),0)</f>
        <v>0</v>
      </c>
      <c r="Y20" s="454"/>
      <c r="Z20" s="123">
        <f>IFERROR(IF(S20='ESVD - Land Use &amp; Climate Match'!$A$1,IF('Biodiversity Assessment'!$J$102&gt;0,'Biodiversity Assessment'!$J$102*VLOOKUP('ESVD - Social Value of Bio'!T20&amp;"1",'ESVD - SUMMARY TABLE'!$E$2:$G$294,3,),0)+IF('Biodiversity Assessment'!$J$103&gt;0,'Biodiversity Assessment'!$J$103*VLOOKUP('ESVD - Social Value of Bio'!T20&amp;"2",'ESVD - SUMMARY TABLE'!$E$2:$G$294,3,),0)+IF('Biodiversity Assessment'!$J$104&gt;0,'Biodiversity Assessment'!$J$104*VLOOKUP('ESVD - Social Value of Bio'!T20&amp;"3",'ESVD - SUMMARY TABLE'!$E$2:$G$294,3,),0)+IF('Biodiversity Assessment'!$J$105&gt;0,'Biodiversity Assessment'!$J$105*VLOOKUP('ESVD - Social Value of Bio'!T20&amp;"4",'ESVD - SUMMARY TABLE'!$E$2:$G$294,3,),0),IF(S20='ESVD - Land Use &amp; Climate Match'!$A$11,IF('Biodiversity Assessment'!$Z$102&gt;0,'Biodiversity Assessment'!$Z$102*VLOOKUP('ESVD - Social Value of Bio'!T20&amp;"1",'ESVD - SUMMARY TABLE'!$E$2:$G$294,3,FALSE),0)+IF('Biodiversity Assessment'!$Z$103&gt;0,'Biodiversity Assessment'!$Z$103*VLOOKUP('ESVD - Social Value of Bio'!T20&amp;"2",'ESVD - SUMMARY TABLE'!$E$2:$G$294,3,FALSE),0)+IF('Biodiversity Assessment'!$Z$104&gt;0,'Biodiversity Assessment'!$Z$104*VLOOKUP('ESVD - Social Value of Bio'!T20&amp;"3",'ESVD - SUMMARY TABLE'!$E$2:$G$294,3,FALSE),0)+IF('Biodiversity Assessment'!$Z$105&gt;0,'Biodiversity Assessment'!$Z$105*VLOOKUP('ESVD - Social Value of Bio'!T20&amp;"4",'ESVD - SUMMARY TABLE'!$E$2:$G$294,3,FALSE),0),IF(S20='ESVD - Land Use &amp; Climate Match'!$A$32,IF('Biodiversity Assessment'!$BD$102&gt;0,'Biodiversity Assessment'!$BD$102*VLOOKUP('ESVD - Social Value of Bio'!T20&amp;"1",'ESVD - SUMMARY TABLE'!$E$2:$G$294,3,FALSE),0)+IF('Biodiversity Assessment'!$BD$103&gt;0,'Biodiversity Assessment'!$BD$103*VLOOKUP('ESVD - Social Value of Bio'!T20&amp;"2",'ESVD - SUMMARY TABLE'!$E$2:$G$294,3,FALSE),0)+IF('Biodiversity Assessment'!$BD$104&gt;0,'Biodiversity Assessment'!$BD$104*VLOOKUP('ESVD - Social Value of Bio'!T20&amp;"3",'ESVD - SUMMARY TABLE'!$E$2:$G$294,3,FALSE),0)+IF('Biodiversity Assessment'!$BD$105&gt;0,'Biodiversity Assessment'!$BD$105*VLOOKUP('ESVD - Social Value of Bio'!T20&amp;"4",'ESVD - SUMMARY TABLE'!$E$2:$G$294,3,FALSE),0)+IF('Biodiversity Assessment'!$BD$106&gt;0,'Biodiversity Assessment'!$BD$106*VLOOKUP('ESVD - Social Value of Bio'!T20&amp;"5",'ESVD - SUMMARY TABLE'!$E$2:$G$294,3,FALSE),0),VLOOKUP('ESVD - Social Value of Bio'!T20&amp;"1",'ESVD - SUMMARY TABLE'!$E$2:$G$294,3,FALSE)))),0)</f>
        <v>0</v>
      </c>
      <c r="AA20" s="123">
        <f>IFERROR(IF(S20='ESVD - Land Use &amp; Climate Match'!$A$1,IF(SUM('Biodiversity Assessment'!$O$102:$P$105)=SUM('Biodiversity Assessment'!$J$102:$M$105),IF('Biodiversity Assessment'!$O$102&gt;0,'Biodiversity Assessment'!$O$102*VLOOKUP('ESVD - Social Value of Bio'!T20&amp;"1",'ESVD - SUMMARY TABLE'!$E$2:$G$294,3,),0)+IF('Biodiversity Assessment'!$O$103&gt;0,'Biodiversity Assessment'!$O$103*VLOOKUP('ESVD - Social Value of Bio'!T20&amp;"2",'ESVD - SUMMARY TABLE'!$E$2:$G$294,3,),0)+IF('Biodiversity Assessment'!$O$104&gt;0,'Biodiversity Assessment'!$O$104*VLOOKUP('ESVD - Social Value of Bio'!T20&amp;"3",'ESVD - SUMMARY TABLE'!$E$2:$G$294,3,),0)+IF('Biodiversity Assessment'!$O$105&gt;0,'Biodiversity Assessment'!$O$105*VLOOKUP('ESVD - Social Value of Bio'!T20&amp;"4",'ESVD - SUMMARY TABLE'!$E$2:$G$294,3,),0),0),IF(S20='ESVD - Land Use &amp; Climate Match'!$A$11,IF(SUM('Biodiversity Assessment'!$AH$102:$AN$105)=SUM('Biodiversity Assessment'!$Z$102:$AF$105),IF('Biodiversity Assessment'!$AH$102&gt;0,'Biodiversity Assessment'!$AH$102*VLOOKUP('ESVD - Social Value of Bio'!T20&amp;"1",'ESVD - SUMMARY TABLE'!$E$2:$G$294,3,FALSE),0)+IF('Biodiversity Assessment'!$AH$103&gt;0,'Biodiversity Assessment'!$AH$103*VLOOKUP('ESVD - Social Value of Bio'!T20&amp;"2",'ESVD - SUMMARY TABLE'!$E$2:$G$294,3,FALSE),0)+IF('Biodiversity Assessment'!$AH$104&gt;0,'Biodiversity Assessment'!$AH$104*VLOOKUP('ESVD - Social Value of Bio'!T20&amp;"3",'ESVD - SUMMARY TABLE'!$E$2:$G$294,3,FALSE),0)+IF('Biodiversity Assessment'!$AH$105&gt;0,'Biodiversity Assessment'!$AH$105*VLOOKUP('ESVD - Social Value of Bio'!T20&amp;"4",'ESVD - SUMMARY TABLE'!$E$2:$G$294,3,FALSE),0),0),IF(S20='ESVD - Land Use &amp; Climate Match'!$A$32,IF(SUM('Biodiversity Assessment'!$BF$102:$BF$106)=SUM('Biodiversity Assessment'!$BD$102:$BD$106),IF('Biodiversity Assessment'!$BF$102&gt;0,'Biodiversity Assessment'!$BF$102*VLOOKUP('ESVD - Social Value of Bio'!T20&amp;"1",'ESVD - SUMMARY TABLE'!$E$2:$G$294,3,FALSE),0)+IF('Biodiversity Assessment'!$BF$103&gt;0,'Biodiversity Assessment'!$BF$103*VLOOKUP('ESVD - Social Value of Bio'!T20&amp;"2",'ESVD - SUMMARY TABLE'!$E$2:$G$294,3,FALSE),0)+IF('Biodiversity Assessment'!$BF$104&gt;0,'Biodiversity Assessment'!$BF$104*VLOOKUP('ESVD - Social Value of Bio'!T20&amp;"3",'ESVD - SUMMARY TABLE'!$E$2:$G$294,3,FALSE),0)+IF('Biodiversity Assessment'!$BF$105&gt;0,'Biodiversity Assessment'!$BF$105*VLOOKUP('ESVD - Social Value of Bio'!T20&amp;"4",'ESVD - SUMMARY TABLE'!$E$2:$G$294,3,FALSE),0)+IF('Biodiversity Assessment'!$BF$106&gt;0,'Biodiversity Assessment'!$BF$106*VLOOKUP('ESVD - Social Value of Bio'!T20&amp;"5",'ESVD - SUMMARY TABLE'!$E$2:$G$294,3,FALSE),0),0),VLOOKUP('ESVD - Social Value of Bio'!T20&amp;"1",'ESVD - SUMMARY TABLE'!$E$2:$G$294,3,FALSE)))),0)</f>
        <v>0</v>
      </c>
      <c r="AB20" s="123">
        <f>'Biodiversity Assessment'!CX35</f>
        <v>0</v>
      </c>
      <c r="AC20" s="124">
        <f>IFERROR(IF(AB20&gt;0,AB20*'Biodiversity Assessment'!U35,IF(AA20&gt;0,AA20*'Biodiversity Assessment'!U35,Z20*'Biodiversity Assessment'!U35)),0)</f>
        <v>0</v>
      </c>
      <c r="AD20" s="456"/>
      <c r="AG20" s="453"/>
    </row>
    <row r="21" spans="1:33" s="110" customFormat="1" ht="10.5" x14ac:dyDescent="0.25">
      <c r="A21" s="107" t="s">
        <v>226</v>
      </c>
      <c r="B21" s="108" t="str">
        <f>IF(Start!$D$28&gt;1000,CONCATENATE(Start!$D$20," Mountain"),Start!$D$20)</f>
        <v>Please select</v>
      </c>
      <c r="C21" s="108" t="str">
        <f>Start!$D$24</f>
        <v>Please select</v>
      </c>
      <c r="D21" s="109" t="str">
        <f>'Biodiversity Assessment'!G36</f>
        <v>Select land use</v>
      </c>
      <c r="E21" s="109" t="str">
        <f>IF(OR(D21=Data!$E$4,D21=Data!$E$5,D21=Data!$E$6,D21=Data!$E$7),Data!$E$4,IF(OR(D21=Data!$E$9,D21=Data!$E$10,D21=Data!$E$11),Data!$E$9,IF(OR(D21=Data!$E$12,D21=Data!$E$13,D21=Data!$E$14),"Cropland",IF(OR(D21=Data!$E$16,D21=Data!$E$17),"Agroforestry",D21))))</f>
        <v>Select land use</v>
      </c>
      <c r="F21" s="109" t="str">
        <f t="shared" si="0"/>
        <v>Please selectPlease selectSelect land use</v>
      </c>
      <c r="G21" s="122">
        <f>IFERROR(IF(E21='ESVD - Land Use &amp; Climate Match'!$A$1,IF('Biodiversity Assessment'!$J$102&gt;0,'Biodiversity Assessment'!$J$102*VLOOKUP('ESVD - Social Value of Bio'!F21&amp;"1",'ESVD - SUMMARY TABLE'!$E$2:$G$294,3,),0)+IF('Biodiversity Assessment'!$J$103&gt;0,'Biodiversity Assessment'!$J$103*VLOOKUP('ESVD - Social Value of Bio'!F21&amp;"2",'ESVD - SUMMARY TABLE'!$E$2:$G$294,3,),0)+IF('Biodiversity Assessment'!$J$104&gt;0,'Biodiversity Assessment'!$J$104*VLOOKUP('ESVD - Social Value of Bio'!F21&amp;"3",'ESVD - SUMMARY TABLE'!$E$2:$G$294,3,),0)+IF('Biodiversity Assessment'!$J$105&gt;0,'Biodiversity Assessment'!$J$105*VLOOKUP('ESVD - Social Value of Bio'!F21&amp;"4",'ESVD - SUMMARY TABLE'!$E$2:$G$294,3,),0),IF(E21='ESVD - Land Use &amp; Climate Match'!$A$11,IF('Biodiversity Assessment'!$Z$102&gt;0,'Biodiversity Assessment'!$Z$102*VLOOKUP('ESVD - Social Value of Bio'!F21&amp;"1",'ESVD - SUMMARY TABLE'!$E$2:$G$294,3,FALSE),0)+IF('Biodiversity Assessment'!$Z$103&gt;0,'Biodiversity Assessment'!$Z$103*VLOOKUP('ESVD - Social Value of Bio'!F21&amp;"2",'ESVD - SUMMARY TABLE'!$E$2:$G$294,3,FALSE),0)+IF('Biodiversity Assessment'!$Z$104&gt;0,'Biodiversity Assessment'!$Z$104*VLOOKUP('ESVD - Social Value of Bio'!F21&amp;"3",'ESVD - SUMMARY TABLE'!$E$2:$G$294,3,FALSE),0)+IF('Biodiversity Assessment'!$Z$105&gt;0,'Biodiversity Assessment'!$Z$105*VLOOKUP('ESVD - Social Value of Bio'!F21&amp;"4",'ESVD - SUMMARY TABLE'!$E$2:$G$294,3,FALSE),0),IF(E21='ESVD - Land Use &amp; Climate Match'!$A$32,IF('Biodiversity Assessment'!$BD$102&gt;0,'Biodiversity Assessment'!$BD$102*VLOOKUP('ESVD - Social Value of Bio'!F21&amp;"1",'ESVD - SUMMARY TABLE'!$E$2:$G$294,3,FALSE),0)+IF('Biodiversity Assessment'!$BD$103&gt;0,'Biodiversity Assessment'!$BD$103*VLOOKUP('ESVD - Social Value of Bio'!F21&amp;"2",'ESVD - SUMMARY TABLE'!$E$2:$G$294,3,FALSE),0)+IF('Biodiversity Assessment'!$BD$104&gt;0,'Biodiversity Assessment'!$BD$104*VLOOKUP('ESVD - Social Value of Bio'!F21&amp;"3",'ESVD - SUMMARY TABLE'!$E$2:$G$294,3,FALSE),0)+IF('Biodiversity Assessment'!$BD$105&gt;0,'Biodiversity Assessment'!$BD$105*VLOOKUP('ESVD - Social Value of Bio'!F21&amp;"4",'ESVD - SUMMARY TABLE'!$E$2:$G$294,3,FALSE),0)+IF('Biodiversity Assessment'!$BD$106&gt;0,'Biodiversity Assessment'!$BD$106*VLOOKUP('ESVD - Social Value of Bio'!F21&amp;"5",'ESVD - SUMMARY TABLE'!$E$2:$G$294,3,FALSE),0),AVERAGE(IF('Biodiversity Assessment'!$J$102&gt;0,'Biodiversity Assessment'!$J$102*VLOOKUP(CONCATENATE($B21,$C21,'ESVD - Land Use &amp; Climate Match'!$A$1)&amp;"1",'ESVD - SUMMARY TABLE'!$E$2:$G$294,3,),0)+IF('Biodiversity Assessment'!$J$103&gt;0,'Biodiversity Assessment'!$J$103*VLOOKUP(CONCATENATE($B21,$C21,'ESVD - Land Use &amp; Climate Match'!$A$1)&amp;"2",'ESVD - SUMMARY TABLE'!$E$2:$G$294,3,),0)+IF('Biodiversity Assessment'!$J$104&gt;0,'Biodiversity Assessment'!$J$104*VLOOKUP(CONCATENATE($B21,$C21,'ESVD - Land Use &amp; Climate Match'!$A$1)&amp;"3",'ESVD - SUMMARY TABLE'!$E$2:$G$294,3,),0)+IF('Biodiversity Assessment'!$J$105&gt;0,'Biodiversity Assessment'!$J$105*VLOOKUP(CONCATENATE($B21,$C21,'ESVD - Land Use &amp; Climate Match'!$A$1)&amp;"4",'ESVD - SUMMARY TABLE'!$E$2:$G$294,3,),0),IF('Biodiversity Assessment'!$Z$102&gt;0,'Biodiversity Assessment'!$Z$102*VLOOKUP(CONCATENATE($B21,$C21,'ESVD - Land Use &amp; Climate Match'!$A$11)&amp;"1",'ESVD - SUMMARY TABLE'!$E$2:$G$294,3,FALSE),0)+IF('Biodiversity Assessment'!$Z$103&gt;0,'Biodiversity Assessment'!$Z$103*VLOOKUP(CONCATENATE($B21,$C21,'ESVD - Land Use &amp; Climate Match'!$A$11)&amp;"2",'ESVD - SUMMARY TABLE'!$E$2:$G$294,3,FALSE),0)+IF('Biodiversity Assessment'!$Z$104&gt;0,'Biodiversity Assessment'!$Z$104*VLOOKUP(CONCATENATE($B21,$C21,'ESVD - Land Use &amp; Climate Match'!$A$11)&amp;"3",'ESVD - SUMMARY TABLE'!$E$2:$G$294,3,FALSE),0)+IF('Biodiversity Assessment'!$Z$105&gt;0,'Biodiversity Assessment'!$Z$105*VLOOKUP(CONCATENATE($B21,$C21,'ESVD - Land Use &amp; Climate Match'!$A$11)&amp;"4",'ESVD - SUMMARY TABLE'!$E$2:$G$294,3,FALSE),0),IF('Biodiversity Assessment'!$BD$102&gt;0,'Biodiversity Assessment'!$BD$102*VLOOKUP(CONCATENATE($B21,$C21,'ESVD - Land Use &amp; Climate Match'!$A$32)&amp;"1",'ESVD - SUMMARY TABLE'!$E$2:$G$294,3,FALSE),0)+IF('Biodiversity Assessment'!$BD$103&gt;0,'Biodiversity Assessment'!$BD$103*VLOOKUP(CONCATENATE($B21,$C21,'ESVD - Land Use &amp; Climate Match'!$A$32)&amp;"2",'ESVD - SUMMARY TABLE'!$E$2:$G$294,3,FALSE),0)+IF('Biodiversity Assessment'!$BD$104&gt;0,'Biodiversity Assessment'!$BD$104*VLOOKUP(CONCATENATE($B21,$C21,'ESVD - Land Use &amp; Climate Match'!$A$32)&amp;"3",'ESVD - SUMMARY TABLE'!$E$2:$G$294,3,FALSE),0)+IF('Biodiversity Assessment'!$BD$105&gt;0,'Biodiversity Assessment'!$BD$105*VLOOKUP(CONCATENATE($B21,$C21,'ESVD - Land Use &amp; Climate Match'!$A$32)&amp;"4",'ESVD - SUMMARY TABLE'!$E$2:$G$294,3,FALSE),0)+IF('Biodiversity Assessment'!$BD$106&gt;0,'Biodiversity Assessment'!$BD$106*VLOOKUP(CONCATENATE($B21,$C21,'ESVD - Land Use &amp; Climate Match'!$A$32)&amp;"5",'ESVD - SUMMARY TABLE'!$E$2:$G$294,3,FALSE)))))),0)</f>
        <v>0</v>
      </c>
      <c r="H21" s="122">
        <f>IFERROR(IF(E21='ESVD - Land Use &amp; Climate Match'!$A$1,IF(SUM('Biodiversity Assessment'!$O$102:$P$105)=SUM('Biodiversity Assessment'!$J$102:$M$105),IF('Biodiversity Assessment'!$O$102&gt;0,'Biodiversity Assessment'!$O$102*VLOOKUP('ESVD - Social Value of Bio'!F21&amp;"1",'ESVD - SUMMARY TABLE'!$E$2:$G$294,3,),0)+IF('Biodiversity Assessment'!$O$103&gt;0,'Biodiversity Assessment'!$O$103*VLOOKUP('ESVD - Social Value of Bio'!F21&amp;"2",'ESVD - SUMMARY TABLE'!$E$2:$G$294,3,),0)+IF('Biodiversity Assessment'!$O$104&gt;0,'Biodiversity Assessment'!$O$104*VLOOKUP('ESVD - Social Value of Bio'!F21&amp;"3",'ESVD - SUMMARY TABLE'!$E$2:$G$294,3,),0)+IF('Biodiversity Assessment'!$O$105&gt;0,'Biodiversity Assessment'!$O$105*VLOOKUP('ESVD - Social Value of Bio'!F21&amp;"4",'ESVD - SUMMARY TABLE'!$E$2:$G$294,3,),0),0),IF(E21='ESVD - Land Use &amp; Climate Match'!$A$11,IF(SUM('Biodiversity Assessment'!$AH$102:$AN$105)=SUM('Biodiversity Assessment'!$Z$102:$AF$105),IF('Biodiversity Assessment'!$AH$102&gt;0,'Biodiversity Assessment'!$AH$102*VLOOKUP('ESVD - Social Value of Bio'!F21&amp;"1",'ESVD - SUMMARY TABLE'!$E$2:$G$294,3,FALSE),0)+IF('Biodiversity Assessment'!$AH$103&gt;0,'Biodiversity Assessment'!$AH$103*VLOOKUP('ESVD - Social Value of Bio'!F21&amp;"2",'ESVD - SUMMARY TABLE'!$E$2:$G$294,3,FALSE),0)+IF('Biodiversity Assessment'!$AH$104&gt;0,'Biodiversity Assessment'!$AH$104*VLOOKUP('ESVD - Social Value of Bio'!F21&amp;"3",'ESVD - SUMMARY TABLE'!$E$2:$G$294,3,FALSE),0)+IF('Biodiversity Assessment'!$AH$105&gt;0,'Biodiversity Assessment'!$AH$105*VLOOKUP('ESVD - Social Value of Bio'!F21&amp;"4",'ESVD - SUMMARY TABLE'!$E$2:$G$294,3,FALSE),0),0),IF(E21='ESVD - Land Use &amp; Climate Match'!$A$32,IF(SUM('Biodiversity Assessment'!$BF$102:$BF$106)=SUM('Biodiversity Assessment'!$BD$102:$BD$106),IF('Biodiversity Assessment'!$BF$102&gt;0,'Biodiversity Assessment'!$BF$102*VLOOKUP('ESVD - Social Value of Bio'!F21&amp;"1",'ESVD - SUMMARY TABLE'!$E$2:$G$294,3,FALSE),0)+IF('Biodiversity Assessment'!$BF$103&gt;0,'Biodiversity Assessment'!$BF$103*VLOOKUP('ESVD - Social Value of Bio'!F21&amp;"2",'ESVD - SUMMARY TABLE'!$E$2:$G$294,3,FALSE),0)+IF('Biodiversity Assessment'!$BF$104&gt;0,'Biodiversity Assessment'!$BF$104*VLOOKUP('ESVD - Social Value of Bio'!F21&amp;"3",'ESVD - SUMMARY TABLE'!$E$2:$G$294,3,FALSE),0)+IF('Biodiversity Assessment'!$BF$105&gt;0,'Biodiversity Assessment'!$BF$105*VLOOKUP('ESVD - Social Value of Bio'!F21&amp;"4",'ESVD - SUMMARY TABLE'!$E$2:$G$294,3,FALSE),0)+IF('Biodiversity Assessment'!$BF$106&gt;0,'Biodiversity Assessment'!$BF$106*VLOOKUP('ESVD - Social Value of Bio'!F21&amp;"5",'ESVD - SUMMARY TABLE'!$E$2:$G$294,3,FALSE),0),0),AVERAGE(IF(SUM('Biodiversity Assessment'!$O$102:$P$105)=SUM('Biodiversity Assessment'!$J$102:$M$105),IF('Biodiversity Assessment'!$O$102&gt;0,'Biodiversity Assessment'!$O$102*VLOOKUP(CONCATENATE($B21,$C21,'ESVD - Land Use &amp; Climate Match'!$A$1)&amp;"1",'ESVD - SUMMARY TABLE'!$E$2:$G$294,3,),0)+IF('Biodiversity Assessment'!$O$103&gt;0,'Biodiversity Assessment'!$O$103*VLOOKUP(CONCATENATE($B21,$C21,'ESVD - Land Use &amp; Climate Match'!$A$1)&amp;"2",'ESVD - SUMMARY TABLE'!$E$2:$G$294,3,),0)+IF('Biodiversity Assessment'!$O$104&gt;0,'Biodiversity Assessment'!$O$104*VLOOKUP(CONCATENATE($B21,$C21,'ESVD - Land Use &amp; Climate Match'!$A$1)&amp;"3",'ESVD - SUMMARY TABLE'!$E$2:$G$294,3,),0)+IF('Biodiversity Assessment'!$O$105&gt;0,'Biodiversity Assessment'!$O$105*VLOOKUP(CONCATENATE($B21,$C21,'ESVD - Land Use &amp; Climate Match'!$A$1)&amp;"4",'ESVD - SUMMARY TABLE'!$E$2:$G$294,3,),0),0),IF(SUM('Biodiversity Assessment'!$AH$102:$AN$105)=SUM('Biodiversity Assessment'!$Z$102:$AF$105),IF('Biodiversity Assessment'!$AH$102&gt;0,'Biodiversity Assessment'!$AH$102*VLOOKUP(CONCATENATE($B21,$C21,'ESVD - Land Use &amp; Climate Match'!$A$11)&amp;"1",'ESVD - SUMMARY TABLE'!$E$2:$G$294,3,FALSE),0)+IF('Biodiversity Assessment'!$AH$103&gt;0,'Biodiversity Assessment'!$AH$103*VLOOKUP(CONCATENATE($B21,$C21,'ESVD - Land Use &amp; Climate Match'!$A$11)&amp;"2",'ESVD - SUMMARY TABLE'!$E$2:$G$294,3,FALSE),0)+IF('Biodiversity Assessment'!$AH$104&gt;0,'Biodiversity Assessment'!$AH$104*VLOOKUP(CONCATENATE($B21,$C21,'ESVD - Land Use &amp; Climate Match'!$A$11)&amp;"3",'ESVD - SUMMARY TABLE'!$E$2:$G$294,3,FALSE),0)+IF('Biodiversity Assessment'!$AH$105&gt;0,'Biodiversity Assessment'!$AH$105*VLOOKUP(CONCATENATE($B21,$C21,'ESVD - Land Use &amp; Climate Match'!$A$11)&amp;"4",'ESVD - SUMMARY TABLE'!$E$2:$G$294,3,FALSE),0),0),IF(SUM('Biodiversity Assessment'!$BF$102:$BF$106)=SUM('Biodiversity Assessment'!$BD$102:$BD$106),IF('Biodiversity Assessment'!$BF$102&gt;0,'Biodiversity Assessment'!$BF$102*VLOOKUP(CONCATENATE($B21,$C21,'ESVD - Land Use &amp; Climate Match'!$A$32)&amp;"1",'ESVD - SUMMARY TABLE'!$E$2:$G$294,3,FALSE),0)+IF('Biodiversity Assessment'!$BF$103&gt;0,'Biodiversity Assessment'!$BF$103*VLOOKUP(CONCATENATE($B21,$C21,'ESVD - Land Use &amp; Climate Match'!$A$32)&amp;"2",'ESVD - SUMMARY TABLE'!$E$2:$G$294,3,FALSE),0)+IF('Biodiversity Assessment'!$BF$104&gt;0,'Biodiversity Assessment'!$BF$104*VLOOKUP(CONCATENATE($B21,$C21,'ESVD - Land Use &amp; Climate Match'!$A$32)&amp;"3",'ESVD - SUMMARY TABLE'!$E$2:$G$294,3,FALSE),0)+IF('Biodiversity Assessment'!$BF$105&gt;0,'Biodiversity Assessment'!$BF$105*VLOOKUP(CONCATENATE($B21,$C21,'ESVD - Land Use &amp; Climate Match'!$A$32)&amp;"4",'ESVD - SUMMARY TABLE'!$E$2:$G$294,3,FALSE),0)+IF('Biodiversity Assessment'!$BF$106&gt;0,'Biodiversity Assessment'!$BF$106*VLOOKUP(CONCATENATE($B21,$C21,'ESVD - Land Use &amp; Climate Match'!$A$32)&amp;"5",'ESVD - SUMMARY TABLE'!$E$2:$G$294,3,FALSE),0),0))))),0)</f>
        <v>0</v>
      </c>
      <c r="I21" s="122">
        <f>'Biodiversity Assessment'!CR36</f>
        <v>0</v>
      </c>
      <c r="J21" s="122">
        <f>IFERROR(IF(I21&gt;0,I21*'Biodiversity Assessment'!$M36,IF(H21&gt;0,H21*'Biodiversity Assessment'!$M36,G21*'Biodiversity Assessment'!$M36)),0)</f>
        <v>0</v>
      </c>
      <c r="K21" s="454"/>
      <c r="L21" s="123">
        <f>IFERROR(IF(E21='ESVD - Land Use &amp; Climate Match'!$A$1,IF('Biodiversity Assessment'!$J$102&gt;0,'Biodiversity Assessment'!$J$102*VLOOKUP('ESVD - Social Value of Bio'!F21&amp;"1",'ESVD - SUMMARY TABLE'!$E$2:$G$294,3,),0)+IF('Biodiversity Assessment'!$J$103&gt;0,'Biodiversity Assessment'!$J$103*VLOOKUP('ESVD - Social Value of Bio'!F21&amp;"2",'ESVD - SUMMARY TABLE'!$E$2:$G$294,3,),0)+IF('Biodiversity Assessment'!$J$104&gt;0,'Biodiversity Assessment'!$J$104*VLOOKUP('ESVD - Social Value of Bio'!F21&amp;"3",'ESVD - SUMMARY TABLE'!$E$2:$G$294,3,),0)+IF('Biodiversity Assessment'!$J$105&gt;0,'Biodiversity Assessment'!$J$105*VLOOKUP('ESVD - Social Value of Bio'!F21&amp;"4",'ESVD - SUMMARY TABLE'!$E$2:$G$294,3,),0),IF(E21='ESVD - Land Use &amp; Climate Match'!$A$11,IF('Biodiversity Assessment'!$Z$102&gt;0,'Biodiversity Assessment'!$Z$102*VLOOKUP('ESVD - Social Value of Bio'!F21&amp;"1",'ESVD - SUMMARY TABLE'!$E$2:$G$294,3,FALSE),0)+IF('Biodiversity Assessment'!$Z$103&gt;0,'Biodiversity Assessment'!$Z$103*VLOOKUP('ESVD - Social Value of Bio'!F21&amp;"2",'ESVD - SUMMARY TABLE'!$E$2:$G$294,3,FALSE),0)+IF('Biodiversity Assessment'!$Z$104&gt;0,'Biodiversity Assessment'!$Z$104*VLOOKUP('ESVD - Social Value of Bio'!F21&amp;"3",'ESVD - SUMMARY TABLE'!$E$2:$G$294,3,FALSE),0)+IF('Biodiversity Assessment'!$Z$105&gt;0,'Biodiversity Assessment'!$Z$105*VLOOKUP('ESVD - Social Value of Bio'!F21&amp;"4",'ESVD - SUMMARY TABLE'!$E$2:$G$294,3,FALSE),0),IF(E21='ESVD - Land Use &amp; Climate Match'!$A$32,IF('Biodiversity Assessment'!$BD$102&gt;0,'Biodiversity Assessment'!$BD$102*VLOOKUP('ESVD - Social Value of Bio'!F21&amp;"1",'ESVD - SUMMARY TABLE'!$E$2:$G$294,3,FALSE),0)+IF('Biodiversity Assessment'!$BD$103&gt;0,'Biodiversity Assessment'!$BD$103*VLOOKUP('ESVD - Social Value of Bio'!F21&amp;"2",'ESVD - SUMMARY TABLE'!$E$2:$G$294,3,FALSE),0)+IF('Biodiversity Assessment'!$BD$104&gt;0,'Biodiversity Assessment'!$BD$104*VLOOKUP('ESVD - Social Value of Bio'!F21&amp;"3",'ESVD - SUMMARY TABLE'!$E$2:$G$294,3,FALSE),0)+IF('Biodiversity Assessment'!$BD$105&gt;0,'Biodiversity Assessment'!$BD$105*VLOOKUP('ESVD - Social Value of Bio'!F21&amp;"4",'ESVD - SUMMARY TABLE'!$E$2:$G$294,3,FALSE),0)+IF('Biodiversity Assessment'!$BD$106&gt;0,'Biodiversity Assessment'!$BD$106*VLOOKUP('ESVD - Social Value of Bio'!F21&amp;"5",'ESVD - SUMMARY TABLE'!$E$2:$G$294,3,FALSE),0),VLOOKUP('ESVD - Social Value of Bio'!F21&amp;"1",'ESVD - SUMMARY TABLE'!$E$2:$G$294,3,FALSE)))),0)</f>
        <v>0</v>
      </c>
      <c r="M21" s="123">
        <f>IFERROR(IF(E21='ESVD - Land Use &amp; Climate Match'!$A$1,IF(SUM('Biodiversity Assessment'!$O$102:$P$105)=SUM('Biodiversity Assessment'!$J$102:$M$105),IF('Biodiversity Assessment'!$O$102&gt;0,'Biodiversity Assessment'!$O$102*VLOOKUP('ESVD - Social Value of Bio'!F21&amp;"1",'ESVD - SUMMARY TABLE'!$E$2:$G$294,3,),0)+IF('Biodiversity Assessment'!$O$103&gt;0,'Biodiversity Assessment'!$O$103*VLOOKUP('ESVD - Social Value of Bio'!F21&amp;"2",'ESVD - SUMMARY TABLE'!$E$2:$G$294,3,),0)+IF('Biodiversity Assessment'!$O$104&gt;0,'Biodiversity Assessment'!$O$104*VLOOKUP('ESVD - Social Value of Bio'!F21&amp;"3",'ESVD - SUMMARY TABLE'!$E$2:$G$294,3,),0)+IF('Biodiversity Assessment'!$O$105&gt;0,'Biodiversity Assessment'!$O$105*VLOOKUP('ESVD - Social Value of Bio'!F21&amp;"4",'ESVD - SUMMARY TABLE'!$E$2:$G$294,3,),0),0),IF(E21='ESVD - Land Use &amp; Climate Match'!$A$11,IF(SUM('Biodiversity Assessment'!$AH$102:$AN$105)=SUM('Biodiversity Assessment'!$Z$102:$AF$105),IF('Biodiversity Assessment'!$AH$102&gt;0,'Biodiversity Assessment'!$AH$102*VLOOKUP('ESVD - Social Value of Bio'!F21&amp;"1",'ESVD - SUMMARY TABLE'!$E$2:$G$294,3,FALSE),0)+IF('Biodiversity Assessment'!$AH$103&gt;0,'Biodiversity Assessment'!$AH$103*VLOOKUP('ESVD - Social Value of Bio'!F21&amp;"2",'ESVD - SUMMARY TABLE'!$E$2:$G$294,3,FALSE),0)+IF('Biodiversity Assessment'!$AH$104&gt;0,'Biodiversity Assessment'!$AH$104*VLOOKUP('ESVD - Social Value of Bio'!F21&amp;"3",'ESVD - SUMMARY TABLE'!$E$2:$G$294,3,FALSE),0)+IF('Biodiversity Assessment'!$AH$105&gt;0,'Biodiversity Assessment'!$AH$105*VLOOKUP('ESVD - Social Value of Bio'!F21&amp;"4",'ESVD - SUMMARY TABLE'!$E$2:$G$294,3,FALSE),0),0),IF(E21='ESVD - Land Use &amp; Climate Match'!$A$32,IF(SUM('Biodiversity Assessment'!$BF$102:$BF$106)=SUM('Biodiversity Assessment'!$BD$102:$BD$106),IF('Biodiversity Assessment'!$BF$102&gt;0,'Biodiversity Assessment'!$BF$102*VLOOKUP('ESVD - Social Value of Bio'!F21&amp;"1",'ESVD - SUMMARY TABLE'!$E$2:$G$294,3,FALSE),0)+IF('Biodiversity Assessment'!$BF$103&gt;0,'Biodiversity Assessment'!$BF$103*VLOOKUP('ESVD - Social Value of Bio'!F21&amp;"2",'ESVD - SUMMARY TABLE'!$E$2:$G$294,3,FALSE),0)+IF('Biodiversity Assessment'!$BF$104&gt;0,'Biodiversity Assessment'!$BF$104*VLOOKUP('ESVD - Social Value of Bio'!F21&amp;"3",'ESVD - SUMMARY TABLE'!$E$2:$G$294,3,FALSE),0)+IF('Biodiversity Assessment'!$BF$105&gt;0,'Biodiversity Assessment'!$BF$105*VLOOKUP('ESVD - Social Value of Bio'!F21&amp;"4",'ESVD - SUMMARY TABLE'!$E$2:$G$294,3,FALSE),0)+IF('Biodiversity Assessment'!$BF$106&gt;0,'Biodiversity Assessment'!$BF$106*VLOOKUP('ESVD - Social Value of Bio'!F21&amp;"5",'ESVD - SUMMARY TABLE'!$E$2:$G$294,3,FALSE),0),0),VLOOKUP('ESVD - Social Value of Bio'!F21&amp;"1",'ESVD - SUMMARY TABLE'!$E$2:$G$294,3,FALSE)))),0)</f>
        <v>0</v>
      </c>
      <c r="N21" s="123">
        <f>'Biodiversity Assessment'!CR36</f>
        <v>0</v>
      </c>
      <c r="O21" s="124">
        <f>IFERROR(IF(N21&gt;0,N21*'Biodiversity Assessment'!M36,IF(M21&gt;0,M21*'Biodiversity Assessment'!M36,L21*'Biodiversity Assessment'!M36)),0)</f>
        <v>0</v>
      </c>
      <c r="P21" s="456"/>
      <c r="R21" s="108" t="str">
        <f>'Biodiversity Assessment'!O36</f>
        <v>Select land use</v>
      </c>
      <c r="S21" s="109" t="str">
        <f>IF(OR(R21=Data!$E$4,R21=Data!$E$5,R21=Data!$E$6,R21=Data!$E$7),Data!$E$4,IF(OR(R21=Data!$E$9,R21=Data!$E$10,R21=Data!$E$11),Data!$E$9,IF(OR(R21=Data!$E$12,R21=Data!$E$13,R21=Data!$E$14),"Cropland",IF(OR(R21=Data!$E$16,R21=Data!$E$17),"Agroforestry",R21))))</f>
        <v>Select land use</v>
      </c>
      <c r="T21" s="109" t="str">
        <f t="shared" si="1"/>
        <v>Please selectPlease selectSelect land use</v>
      </c>
      <c r="U21" s="122">
        <f>IFERROR(IF(S21='ESVD - Land Use &amp; Climate Match'!$A$1,IF('Biodiversity Assessment'!$J$102&gt;0,'Biodiversity Assessment'!$J$102*VLOOKUP('ESVD - Social Value of Bio'!T21&amp;"1",'ESVD - SUMMARY TABLE'!$E$2:$G$294,3,),0)+IF('Biodiversity Assessment'!$J$103&gt;0,'Biodiversity Assessment'!$J$103*VLOOKUP('ESVD - Social Value of Bio'!T21&amp;"2",'ESVD - SUMMARY TABLE'!$E$2:$G$294,3,),0)+IF('Biodiversity Assessment'!$J$104&gt;0,'Biodiversity Assessment'!$J$104*VLOOKUP('ESVD - Social Value of Bio'!T21&amp;"3",'ESVD - SUMMARY TABLE'!$E$2:$G$294,3,),0)+IF('Biodiversity Assessment'!$J$105&gt;0,'Biodiversity Assessment'!$J$105*VLOOKUP('ESVD - Social Value of Bio'!T21&amp;"4",'ESVD - SUMMARY TABLE'!$E$2:$G$294,3,),0),IF(S21='ESVD - Land Use &amp; Climate Match'!$A$11,IF('Biodiversity Assessment'!$Z$102&gt;0,'Biodiversity Assessment'!$Z$102*VLOOKUP('ESVD - Social Value of Bio'!T21&amp;"1",'ESVD - SUMMARY TABLE'!$E$2:$G$294,3,FALSE),0)+IF('Biodiversity Assessment'!$Z$103&gt;0,'Biodiversity Assessment'!$Z$103*VLOOKUP('ESVD - Social Value of Bio'!T21&amp;"2",'ESVD - SUMMARY TABLE'!$E$2:$G$294,3,FALSE),0)+IF('Biodiversity Assessment'!$Z$104&gt;0,'Biodiversity Assessment'!$Z$104*VLOOKUP('ESVD - Social Value of Bio'!T21&amp;"3",'ESVD - SUMMARY TABLE'!$E$2:$G$294,3,FALSE),0)+IF('Biodiversity Assessment'!$Z$105&gt;0,'Biodiversity Assessment'!$Z$105*VLOOKUP('ESVD - Social Value of Bio'!T21&amp;"4",'ESVD - SUMMARY TABLE'!$E$2:$G$294,3,FALSE),0),IF(S21='ESVD - Land Use &amp; Climate Match'!$A$32,IF('Biodiversity Assessment'!$BD$102&gt;0,'Biodiversity Assessment'!$BD$102*VLOOKUP('ESVD - Social Value of Bio'!T21&amp;"1",'ESVD - SUMMARY TABLE'!$E$2:$G$294,3,FALSE),0)+IF('Biodiversity Assessment'!$BD$103&gt;0,'Biodiversity Assessment'!$BD$103*VLOOKUP('ESVD - Social Value of Bio'!T21&amp;"2",'ESVD - SUMMARY TABLE'!$E$2:$G$294,3,FALSE),0)+IF('Biodiversity Assessment'!$BD$104&gt;0,'Biodiversity Assessment'!$BD$104*VLOOKUP('ESVD - Social Value of Bio'!T21&amp;"3",'ESVD - SUMMARY TABLE'!$E$2:$G$294,3,FALSE),0)+IF('Biodiversity Assessment'!$BD$105&gt;0,'Biodiversity Assessment'!$BD$105*VLOOKUP('ESVD - Social Value of Bio'!T21&amp;"4",'ESVD - SUMMARY TABLE'!$E$2:$G$294,3,FALSE),0)+IF('Biodiversity Assessment'!$BD$106&gt;0,'Biodiversity Assessment'!$BD$106*VLOOKUP('ESVD - Social Value of Bio'!T21&amp;"5",'ESVD - SUMMARY TABLE'!$E$2:$G$294,3,FALSE),0),AVERAGE(IF('Biodiversity Assessment'!$J$102&gt;0,'Biodiversity Assessment'!$J$102*VLOOKUP(CONCATENATE(B21,C21,'ESVD - Land Use &amp; Climate Match'!$A$1)&amp;"1",'ESVD - SUMMARY TABLE'!$E$2:$G$294,3,),0)+IF('Biodiversity Assessment'!$J$103&gt;0,'Biodiversity Assessment'!$J$103*VLOOKUP(CONCATENATE(B21,C21,'ESVD - Land Use &amp; Climate Match'!$A$1)&amp;"2",'ESVD - SUMMARY TABLE'!$E$2:$G$294,3,),0)+IF('Biodiversity Assessment'!$J$104&gt;0,'Biodiversity Assessment'!$J$104*VLOOKUP(CONCATENATE(B21,C21,'ESVD - Land Use &amp; Climate Match'!$A$1)&amp;"3",'ESVD - SUMMARY TABLE'!$E$2:$G$294,3,),0)+IF('Biodiversity Assessment'!$J$105&gt;0,'Biodiversity Assessment'!$J$105*VLOOKUP(CONCATENATE(B21,C21,'ESVD - Land Use &amp; Climate Match'!$A$1)&amp;"4",'ESVD - SUMMARY TABLE'!$E$2:$G$294,3,),0),IF('Biodiversity Assessment'!$Z$102&gt;0,'Biodiversity Assessment'!$Z$102*VLOOKUP(CONCATENATE(B21,C21,'ESVD - Land Use &amp; Climate Match'!$A$11)&amp;"1",'ESVD - SUMMARY TABLE'!$E$2:$G$294,3,FALSE),0)+IF('Biodiversity Assessment'!$Z$103&gt;0,'Biodiversity Assessment'!$Z$103*VLOOKUP(CONCATENATE(B21,C21,'ESVD - Land Use &amp; Climate Match'!$A$11)&amp;"2",'ESVD - SUMMARY TABLE'!$E$2:$G$294,3,FALSE),0)+IF('Biodiversity Assessment'!$Z$104&gt;0,'Biodiversity Assessment'!$Z$104*VLOOKUP(CONCATENATE(B21,C21,'ESVD - Land Use &amp; Climate Match'!$A$11)&amp;"3",'ESVD - SUMMARY TABLE'!$E$2:$G$294,3,FALSE),0)+IF('Biodiversity Assessment'!$Z$105&gt;0,'Biodiversity Assessment'!$Z$105*VLOOKUP(CONCATENATE(B21,C21,'ESVD - Land Use &amp; Climate Match'!$A$11)&amp;"4",'ESVD - SUMMARY TABLE'!$E$2:$G$294,3,FALSE),0),IF('Biodiversity Assessment'!$BD$102&gt;0,'Biodiversity Assessment'!$BD$102*VLOOKUP(CONCATENATE(B21,C21,'ESVD - Land Use &amp; Climate Match'!$A$32)&amp;"1",'ESVD - SUMMARY TABLE'!$E$2:$G$294,3,FALSE),0)+IF('Biodiversity Assessment'!$BD$103&gt;0,'Biodiversity Assessment'!$BD$103*VLOOKUP(CONCATENATE(B21,C21,'ESVD - Land Use &amp; Climate Match'!$A$32)&amp;"2",'ESVD - SUMMARY TABLE'!$E$2:$G$294,3,FALSE),0)+IF('Biodiversity Assessment'!$BD$104&gt;0,'Biodiversity Assessment'!$BD$104*VLOOKUP(CONCATENATE(B21,C21,'ESVD - Land Use &amp; Climate Match'!$A$32)&amp;"3",'ESVD - SUMMARY TABLE'!$E$2:$G$294,3,FALSE),0)+IF('Biodiversity Assessment'!$BD$105&gt;0,'Biodiversity Assessment'!$BD$105*VLOOKUP(CONCATENATE(B21,C21,'ESVD - Land Use &amp; Climate Match'!$A$32)&amp;"4",'ESVD - SUMMARY TABLE'!$E$2:$G$294,3,FALSE),0)+IF('Biodiversity Assessment'!$BD$106&gt;0,'Biodiversity Assessment'!$BD$106*VLOOKUP(CONCATENATE(B21,C21,'ESVD - Land Use &amp; Climate Match'!$A$32)&amp;"5",'ESVD - SUMMARY TABLE'!$E$2:$G$294,3,FALSE)))))),0)</f>
        <v>0</v>
      </c>
      <c r="V21" s="122">
        <f>IFERROR(IF(S21='ESVD - Land Use &amp; Climate Match'!$A$1,IF(SUM('Biodiversity Assessment'!$O$102:$P$105)=SUM('Biodiversity Assessment'!$J$102:$M$105),IF('Biodiversity Assessment'!$O$102&gt;0,'Biodiversity Assessment'!$O$102*VLOOKUP('ESVD - Social Value of Bio'!T21&amp;"1",'ESVD - SUMMARY TABLE'!$E$2:$G$294,3,),0)+IF('Biodiversity Assessment'!$O$103&gt;0,'Biodiversity Assessment'!$O$103*VLOOKUP('ESVD - Social Value of Bio'!T21&amp;"2",'ESVD - SUMMARY TABLE'!$E$2:$G$294,3,),0)+IF('Biodiversity Assessment'!$O$104&gt;0,'Biodiversity Assessment'!$O$104*VLOOKUP('ESVD - Social Value of Bio'!T21&amp;"3",'ESVD - SUMMARY TABLE'!$E$2:$G$294,3,),0)+IF('Biodiversity Assessment'!$O$105&gt;0,'Biodiversity Assessment'!$O$105*VLOOKUP('ESVD - Social Value of Bio'!T21&amp;"4",'ESVD - SUMMARY TABLE'!$E$2:$G$294,3,),0),0),IF(S21='ESVD - Land Use &amp; Climate Match'!$A$11,IF(SUM('Biodiversity Assessment'!$AH$102:$AN$105)=SUM('Biodiversity Assessment'!$Z$102:$AF$105),IF('Biodiversity Assessment'!$AH$102&gt;0,'Biodiversity Assessment'!$AH$102*VLOOKUP('ESVD - Social Value of Bio'!T21&amp;"1",'ESVD - SUMMARY TABLE'!$E$2:$G$294,3,FALSE),0)+IF('Biodiversity Assessment'!$AH$103&gt;0,'Biodiversity Assessment'!$AH$103*VLOOKUP('ESVD - Social Value of Bio'!T21&amp;"2",'ESVD - SUMMARY TABLE'!$E$2:$G$294,3,FALSE),0)+IF('Biodiversity Assessment'!$AH$104&gt;0,'Biodiversity Assessment'!$AH$104*VLOOKUP('ESVD - Social Value of Bio'!T21&amp;"3",'ESVD - SUMMARY TABLE'!$E$2:$G$294,3,FALSE),0)+IF('Biodiversity Assessment'!$AH$105&gt;0,'Biodiversity Assessment'!$AH$105*VLOOKUP('ESVD - Social Value of Bio'!T21&amp;"4",'ESVD - SUMMARY TABLE'!$E$2:$G$294,3,FALSE),0),0),IF(S21='ESVD - Land Use &amp; Climate Match'!$A$32,IF(SUM('Biodiversity Assessment'!$BF$102:$BF$106)=SUM('Biodiversity Assessment'!$BD$102:$BD$106),IF('Biodiversity Assessment'!$BF$102&gt;0,'Biodiversity Assessment'!$BF$102*VLOOKUP('ESVD - Social Value of Bio'!T21&amp;"1",'ESVD - SUMMARY TABLE'!$E$2:$G$294,3,FALSE),0)+IF('Biodiversity Assessment'!$BF$103&gt;0,'Biodiversity Assessment'!$BF$103*VLOOKUP('ESVD - Social Value of Bio'!T21&amp;"2",'ESVD - SUMMARY TABLE'!$E$2:$G$294,3,FALSE),0)+IF('Biodiversity Assessment'!$BF$104&gt;0,'Biodiversity Assessment'!$BF$104*VLOOKUP('ESVD - Social Value of Bio'!T21&amp;"3",'ESVD - SUMMARY TABLE'!$E$2:$G$294,3,FALSE),0)+IF('Biodiversity Assessment'!$BF$105&gt;0,'Biodiversity Assessment'!$BF$105*VLOOKUP('ESVD - Social Value of Bio'!T21&amp;"4",'ESVD - SUMMARY TABLE'!$E$2:$G$294,3,FALSE),0)+IF('Biodiversity Assessment'!$BF$106&gt;0,'Biodiversity Assessment'!$BF$106*VLOOKUP('ESVD - Social Value of Bio'!T21&amp;"5",'ESVD - SUMMARY TABLE'!$E$2:$G$294,3,FALSE),0),0),AVERAGE(IF(SUM('Biodiversity Assessment'!$O$102:$P$105)=SUM('Biodiversity Assessment'!$J$102:$M$105),IF('Biodiversity Assessment'!$O$102&gt;0,'Biodiversity Assessment'!$O$102*VLOOKUP(CONCATENATE($B21,$C21,'ESVD - Land Use &amp; Climate Match'!$A$1)&amp;"1",'ESVD - SUMMARY TABLE'!$E$2:$G$294,3,),0)+IF('Biodiversity Assessment'!$O$103&gt;0,'Biodiversity Assessment'!$O$103*VLOOKUP(CONCATENATE($B21,$C21,'ESVD - Land Use &amp; Climate Match'!$A$1)&amp;"2",'ESVD - SUMMARY TABLE'!$E$2:$G$294,3,),0)+IF('Biodiversity Assessment'!$O$104&gt;0,'Biodiversity Assessment'!$O$104*VLOOKUP(CONCATENATE($B21,$C21,'ESVD - Land Use &amp; Climate Match'!$A$1)&amp;"3",'ESVD - SUMMARY TABLE'!$E$2:$G$294,3,),0)+IF('Biodiversity Assessment'!$O$105&gt;0,'Biodiversity Assessment'!$O$105*VLOOKUP(CONCATENATE($B21,$C21,'ESVD - Land Use &amp; Climate Match'!$A$1)&amp;"4",'ESVD - SUMMARY TABLE'!$E$2:$G$294,3,),0),0),IF(SUM('Biodiversity Assessment'!$AH$102:$AN$105)=SUM('Biodiversity Assessment'!$Z$102:$AF$105),IF('Biodiversity Assessment'!$AH$102&gt;0,'Biodiversity Assessment'!$AH$102*VLOOKUP(CONCATENATE($B21,$C21,'ESVD - Land Use &amp; Climate Match'!$A$11)&amp;"1",'ESVD - SUMMARY TABLE'!$E$2:$G$294,3,FALSE),0)+IF('Biodiversity Assessment'!$AH$103&gt;0,'Biodiversity Assessment'!$AH$103*VLOOKUP(CONCATENATE($B21,$C21,'ESVD - Land Use &amp; Climate Match'!$A$11)&amp;"2",'ESVD - SUMMARY TABLE'!$E$2:$G$294,3,FALSE),0)+IF('Biodiversity Assessment'!$AH$104&gt;0,'Biodiversity Assessment'!$AH$104*VLOOKUP(CONCATENATE($B21,$C21,'ESVD - Land Use &amp; Climate Match'!$A$11)&amp;"3",'ESVD - SUMMARY TABLE'!$E$2:$G$294,3,FALSE),0)+IF('Biodiversity Assessment'!$AH$105&gt;0,'Biodiversity Assessment'!$AH$105*VLOOKUP(CONCATENATE($B21,$C21,'ESVD - Land Use &amp; Climate Match'!$A$11)&amp;"4",'ESVD - SUMMARY TABLE'!$E$2:$G$294,3,FALSE),0),0),IF(SUM('Biodiversity Assessment'!$BF$102:$BF$106)=SUM('Biodiversity Assessment'!$BD$102:$BD$106),IF('Biodiversity Assessment'!$BF$102&gt;0,'Biodiversity Assessment'!$BF$102*VLOOKUP(CONCATENATE($B21,$C21,'ESVD - Land Use &amp; Climate Match'!$A$32)&amp;"1",'ESVD - SUMMARY TABLE'!$E$2:$G$294,3,FALSE),0)+IF('Biodiversity Assessment'!$BF$103&gt;0,'Biodiversity Assessment'!$BF$103*VLOOKUP(CONCATENATE($B21,$C21,'ESVD - Land Use &amp; Climate Match'!$A$32)&amp;"2",'ESVD - SUMMARY TABLE'!$E$2:$G$294,3,FALSE),0)+IF('Biodiversity Assessment'!$BF$104&gt;0,'Biodiversity Assessment'!$BF$104*VLOOKUP(CONCATENATE($B21,$C21,'ESVD - Land Use &amp; Climate Match'!$A$32)&amp;"3",'ESVD - SUMMARY TABLE'!$E$2:$G$294,3,FALSE),0)+IF('Biodiversity Assessment'!$BF$105&gt;0,'Biodiversity Assessment'!$BF$105*VLOOKUP(CONCATENATE($B21,$C21,'ESVD - Land Use &amp; Climate Match'!$A$32)&amp;"4",'ESVD - SUMMARY TABLE'!$E$2:$G$294,3,FALSE),0)+IF('Biodiversity Assessment'!$BF$106&gt;0,'Biodiversity Assessment'!$BF$106*VLOOKUP(CONCATENATE($B21,$C21,'ESVD - Land Use &amp; Climate Match'!$A$32)&amp;"5",'ESVD - SUMMARY TABLE'!$E$2:$G$294,3,FALSE),0),0))))),0)</f>
        <v>0</v>
      </c>
      <c r="W21" s="122">
        <f>'Biodiversity Assessment'!CX36</f>
        <v>0</v>
      </c>
      <c r="X21" s="122">
        <f>IFERROR(IF(W21&gt;0,W21*'Biodiversity Assessment'!$U36,IF(V21&gt;0,V21*'Biodiversity Assessment'!$U36,U21*'Biodiversity Assessment'!$U36)),0)</f>
        <v>0</v>
      </c>
      <c r="Y21" s="454"/>
      <c r="Z21" s="123">
        <f>IFERROR(IF(S21='ESVD - Land Use &amp; Climate Match'!$A$1,IF('Biodiversity Assessment'!$J$102&gt;0,'Biodiversity Assessment'!$J$102*VLOOKUP('ESVD - Social Value of Bio'!T21&amp;"1",'ESVD - SUMMARY TABLE'!$E$2:$G$294,3,),0)+IF('Biodiversity Assessment'!$J$103&gt;0,'Biodiversity Assessment'!$J$103*VLOOKUP('ESVD - Social Value of Bio'!T21&amp;"2",'ESVD - SUMMARY TABLE'!$E$2:$G$294,3,),0)+IF('Biodiversity Assessment'!$J$104&gt;0,'Biodiversity Assessment'!$J$104*VLOOKUP('ESVD - Social Value of Bio'!T21&amp;"3",'ESVD - SUMMARY TABLE'!$E$2:$G$294,3,),0)+IF('Biodiversity Assessment'!$J$105&gt;0,'Biodiversity Assessment'!$J$105*VLOOKUP('ESVD - Social Value of Bio'!T21&amp;"4",'ESVD - SUMMARY TABLE'!$E$2:$G$294,3,),0),IF(S21='ESVD - Land Use &amp; Climate Match'!$A$11,IF('Biodiversity Assessment'!$Z$102&gt;0,'Biodiversity Assessment'!$Z$102*VLOOKUP('ESVD - Social Value of Bio'!T21&amp;"1",'ESVD - SUMMARY TABLE'!$E$2:$G$294,3,FALSE),0)+IF('Biodiversity Assessment'!$Z$103&gt;0,'Biodiversity Assessment'!$Z$103*VLOOKUP('ESVD - Social Value of Bio'!T21&amp;"2",'ESVD - SUMMARY TABLE'!$E$2:$G$294,3,FALSE),0)+IF('Biodiversity Assessment'!$Z$104&gt;0,'Biodiversity Assessment'!$Z$104*VLOOKUP('ESVD - Social Value of Bio'!T21&amp;"3",'ESVD - SUMMARY TABLE'!$E$2:$G$294,3,FALSE),0)+IF('Biodiversity Assessment'!$Z$105&gt;0,'Biodiversity Assessment'!$Z$105*VLOOKUP('ESVD - Social Value of Bio'!T21&amp;"4",'ESVD - SUMMARY TABLE'!$E$2:$G$294,3,FALSE),0),IF(S21='ESVD - Land Use &amp; Climate Match'!$A$32,IF('Biodiversity Assessment'!$BD$102&gt;0,'Biodiversity Assessment'!$BD$102*VLOOKUP('ESVD - Social Value of Bio'!T21&amp;"1",'ESVD - SUMMARY TABLE'!$E$2:$G$294,3,FALSE),0)+IF('Biodiversity Assessment'!$BD$103&gt;0,'Biodiversity Assessment'!$BD$103*VLOOKUP('ESVD - Social Value of Bio'!T21&amp;"2",'ESVD - SUMMARY TABLE'!$E$2:$G$294,3,FALSE),0)+IF('Biodiversity Assessment'!$BD$104&gt;0,'Biodiversity Assessment'!$BD$104*VLOOKUP('ESVD - Social Value of Bio'!T21&amp;"3",'ESVD - SUMMARY TABLE'!$E$2:$G$294,3,FALSE),0)+IF('Biodiversity Assessment'!$BD$105&gt;0,'Biodiversity Assessment'!$BD$105*VLOOKUP('ESVD - Social Value of Bio'!T21&amp;"4",'ESVD - SUMMARY TABLE'!$E$2:$G$294,3,FALSE),0)+IF('Biodiversity Assessment'!$BD$106&gt;0,'Biodiversity Assessment'!$BD$106*VLOOKUP('ESVD - Social Value of Bio'!T21&amp;"5",'ESVD - SUMMARY TABLE'!$E$2:$G$294,3,FALSE),0),VLOOKUP('ESVD - Social Value of Bio'!T21&amp;"1",'ESVD - SUMMARY TABLE'!$E$2:$G$294,3,FALSE)))),0)</f>
        <v>0</v>
      </c>
      <c r="AA21" s="123">
        <f>IFERROR(IF(S21='ESVD - Land Use &amp; Climate Match'!$A$1,IF(SUM('Biodiversity Assessment'!$O$102:$P$105)=SUM('Biodiversity Assessment'!$J$102:$M$105),IF('Biodiversity Assessment'!$O$102&gt;0,'Biodiversity Assessment'!$O$102*VLOOKUP('ESVD - Social Value of Bio'!T21&amp;"1",'ESVD - SUMMARY TABLE'!$E$2:$G$294,3,),0)+IF('Biodiversity Assessment'!$O$103&gt;0,'Biodiversity Assessment'!$O$103*VLOOKUP('ESVD - Social Value of Bio'!T21&amp;"2",'ESVD - SUMMARY TABLE'!$E$2:$G$294,3,),0)+IF('Biodiversity Assessment'!$O$104&gt;0,'Biodiversity Assessment'!$O$104*VLOOKUP('ESVD - Social Value of Bio'!T21&amp;"3",'ESVD - SUMMARY TABLE'!$E$2:$G$294,3,),0)+IF('Biodiversity Assessment'!$O$105&gt;0,'Biodiversity Assessment'!$O$105*VLOOKUP('ESVD - Social Value of Bio'!T21&amp;"4",'ESVD - SUMMARY TABLE'!$E$2:$G$294,3,),0),0),IF(S21='ESVD - Land Use &amp; Climate Match'!$A$11,IF(SUM('Biodiversity Assessment'!$AH$102:$AN$105)=SUM('Biodiversity Assessment'!$Z$102:$AF$105),IF('Biodiversity Assessment'!$AH$102&gt;0,'Biodiversity Assessment'!$AH$102*VLOOKUP('ESVD - Social Value of Bio'!T21&amp;"1",'ESVD - SUMMARY TABLE'!$E$2:$G$294,3,FALSE),0)+IF('Biodiversity Assessment'!$AH$103&gt;0,'Biodiversity Assessment'!$AH$103*VLOOKUP('ESVD - Social Value of Bio'!T21&amp;"2",'ESVD - SUMMARY TABLE'!$E$2:$G$294,3,FALSE),0)+IF('Biodiversity Assessment'!$AH$104&gt;0,'Biodiversity Assessment'!$AH$104*VLOOKUP('ESVD - Social Value of Bio'!T21&amp;"3",'ESVD - SUMMARY TABLE'!$E$2:$G$294,3,FALSE),0)+IF('Biodiversity Assessment'!$AH$105&gt;0,'Biodiversity Assessment'!$AH$105*VLOOKUP('ESVD - Social Value of Bio'!T21&amp;"4",'ESVD - SUMMARY TABLE'!$E$2:$G$294,3,FALSE),0),0),IF(S21='ESVD - Land Use &amp; Climate Match'!$A$32,IF(SUM('Biodiversity Assessment'!$BF$102:$BF$106)=SUM('Biodiversity Assessment'!$BD$102:$BD$106),IF('Biodiversity Assessment'!$BF$102&gt;0,'Biodiversity Assessment'!$BF$102*VLOOKUP('ESVD - Social Value of Bio'!T21&amp;"1",'ESVD - SUMMARY TABLE'!$E$2:$G$294,3,FALSE),0)+IF('Biodiversity Assessment'!$BF$103&gt;0,'Biodiversity Assessment'!$BF$103*VLOOKUP('ESVD - Social Value of Bio'!T21&amp;"2",'ESVD - SUMMARY TABLE'!$E$2:$G$294,3,FALSE),0)+IF('Biodiversity Assessment'!$BF$104&gt;0,'Biodiversity Assessment'!$BF$104*VLOOKUP('ESVD - Social Value of Bio'!T21&amp;"3",'ESVD - SUMMARY TABLE'!$E$2:$G$294,3,FALSE),0)+IF('Biodiversity Assessment'!$BF$105&gt;0,'Biodiversity Assessment'!$BF$105*VLOOKUP('ESVD - Social Value of Bio'!T21&amp;"4",'ESVD - SUMMARY TABLE'!$E$2:$G$294,3,FALSE),0)+IF('Biodiversity Assessment'!$BF$106&gt;0,'Biodiversity Assessment'!$BF$106*VLOOKUP('ESVD - Social Value of Bio'!T21&amp;"5",'ESVD - SUMMARY TABLE'!$E$2:$G$294,3,FALSE),0),0),VLOOKUP('ESVD - Social Value of Bio'!T21&amp;"1",'ESVD - SUMMARY TABLE'!$E$2:$G$294,3,FALSE)))),0)</f>
        <v>0</v>
      </c>
      <c r="AB21" s="123">
        <f>'Biodiversity Assessment'!CX36</f>
        <v>0</v>
      </c>
      <c r="AC21" s="124">
        <f>IFERROR(IF(AB21&gt;0,AB21*'Biodiversity Assessment'!U36,IF(AA21&gt;0,AA21*'Biodiversity Assessment'!U36,Z21*'Biodiversity Assessment'!U36)),0)</f>
        <v>0</v>
      </c>
      <c r="AD21" s="456"/>
      <c r="AG21" s="453"/>
    </row>
    <row r="22" spans="1:33" s="110" customFormat="1" ht="10.5" x14ac:dyDescent="0.25">
      <c r="A22" s="107" t="s">
        <v>227</v>
      </c>
      <c r="B22" s="108" t="str">
        <f>IF(Start!$D$28&gt;1000,CONCATENATE(Start!$D$20," Mountain"),Start!$D$20)</f>
        <v>Please select</v>
      </c>
      <c r="C22" s="108" t="str">
        <f>Start!$D$24</f>
        <v>Please select</v>
      </c>
      <c r="D22" s="109" t="str">
        <f>'Biodiversity Assessment'!G37</f>
        <v>Select land use</v>
      </c>
      <c r="E22" s="109" t="str">
        <f>IF(OR(D22=Data!$E$4,D22=Data!$E$5,D22=Data!$E$6,D22=Data!$E$7),Data!$E$4,IF(OR(D22=Data!$E$9,D22=Data!$E$10,D22=Data!$E$11),Data!$E$9,IF(OR(D22=Data!$E$12,D22=Data!$E$13,D22=Data!$E$14),"Cropland",IF(OR(D22=Data!$E$16,D22=Data!$E$17),"Agroforestry",D22))))</f>
        <v>Select land use</v>
      </c>
      <c r="F22" s="109" t="str">
        <f t="shared" si="0"/>
        <v>Please selectPlease selectSelect land use</v>
      </c>
      <c r="G22" s="122">
        <f>IFERROR(IF(E22='ESVD - Land Use &amp; Climate Match'!$A$1,IF('Biodiversity Assessment'!$J$102&gt;0,'Biodiversity Assessment'!$J$102*VLOOKUP('ESVD - Social Value of Bio'!F22&amp;"1",'ESVD - SUMMARY TABLE'!$E$2:$G$294,3,),0)+IF('Biodiversity Assessment'!$J$103&gt;0,'Biodiversity Assessment'!$J$103*VLOOKUP('ESVD - Social Value of Bio'!F22&amp;"2",'ESVD - SUMMARY TABLE'!$E$2:$G$294,3,),0)+IF('Biodiversity Assessment'!$J$104&gt;0,'Biodiversity Assessment'!$J$104*VLOOKUP('ESVD - Social Value of Bio'!F22&amp;"3",'ESVD - SUMMARY TABLE'!$E$2:$G$294,3,),0)+IF('Biodiversity Assessment'!$J$105&gt;0,'Biodiversity Assessment'!$J$105*VLOOKUP('ESVD - Social Value of Bio'!F22&amp;"4",'ESVD - SUMMARY TABLE'!$E$2:$G$294,3,),0),IF(E22='ESVD - Land Use &amp; Climate Match'!$A$11,IF('Biodiversity Assessment'!$Z$102&gt;0,'Biodiversity Assessment'!$Z$102*VLOOKUP('ESVD - Social Value of Bio'!F22&amp;"1",'ESVD - SUMMARY TABLE'!$E$2:$G$294,3,FALSE),0)+IF('Biodiversity Assessment'!$Z$103&gt;0,'Biodiversity Assessment'!$Z$103*VLOOKUP('ESVD - Social Value of Bio'!F22&amp;"2",'ESVD - SUMMARY TABLE'!$E$2:$G$294,3,FALSE),0)+IF('Biodiversity Assessment'!$Z$104&gt;0,'Biodiversity Assessment'!$Z$104*VLOOKUP('ESVD - Social Value of Bio'!F22&amp;"3",'ESVD - SUMMARY TABLE'!$E$2:$G$294,3,FALSE),0)+IF('Biodiversity Assessment'!$Z$105&gt;0,'Biodiversity Assessment'!$Z$105*VLOOKUP('ESVD - Social Value of Bio'!F22&amp;"4",'ESVD - SUMMARY TABLE'!$E$2:$G$294,3,FALSE),0),IF(E22='ESVD - Land Use &amp; Climate Match'!$A$32,IF('Biodiversity Assessment'!$BD$102&gt;0,'Biodiversity Assessment'!$BD$102*VLOOKUP('ESVD - Social Value of Bio'!F22&amp;"1",'ESVD - SUMMARY TABLE'!$E$2:$G$294,3,FALSE),0)+IF('Biodiversity Assessment'!$BD$103&gt;0,'Biodiversity Assessment'!$BD$103*VLOOKUP('ESVD - Social Value of Bio'!F22&amp;"2",'ESVD - SUMMARY TABLE'!$E$2:$G$294,3,FALSE),0)+IF('Biodiversity Assessment'!$BD$104&gt;0,'Biodiversity Assessment'!$BD$104*VLOOKUP('ESVD - Social Value of Bio'!F22&amp;"3",'ESVD - SUMMARY TABLE'!$E$2:$G$294,3,FALSE),0)+IF('Biodiversity Assessment'!$BD$105&gt;0,'Biodiversity Assessment'!$BD$105*VLOOKUP('ESVD - Social Value of Bio'!F22&amp;"4",'ESVD - SUMMARY TABLE'!$E$2:$G$294,3,FALSE),0)+IF('Biodiversity Assessment'!$BD$106&gt;0,'Biodiversity Assessment'!$BD$106*VLOOKUP('ESVD - Social Value of Bio'!F22&amp;"5",'ESVD - SUMMARY TABLE'!$E$2:$G$294,3,FALSE),0),AVERAGE(IF('Biodiversity Assessment'!$J$102&gt;0,'Biodiversity Assessment'!$J$102*VLOOKUP(CONCATENATE($B22,$C22,'ESVD - Land Use &amp; Climate Match'!$A$1)&amp;"1",'ESVD - SUMMARY TABLE'!$E$2:$G$294,3,),0)+IF('Biodiversity Assessment'!$J$103&gt;0,'Biodiversity Assessment'!$J$103*VLOOKUP(CONCATENATE($B22,$C22,'ESVD - Land Use &amp; Climate Match'!$A$1)&amp;"2",'ESVD - SUMMARY TABLE'!$E$2:$G$294,3,),0)+IF('Biodiversity Assessment'!$J$104&gt;0,'Biodiversity Assessment'!$J$104*VLOOKUP(CONCATENATE($B22,$C22,'ESVD - Land Use &amp; Climate Match'!$A$1)&amp;"3",'ESVD - SUMMARY TABLE'!$E$2:$G$294,3,),0)+IF('Biodiversity Assessment'!$J$105&gt;0,'Biodiversity Assessment'!$J$105*VLOOKUP(CONCATENATE($B22,$C22,'ESVD - Land Use &amp; Climate Match'!$A$1)&amp;"4",'ESVD - SUMMARY TABLE'!$E$2:$G$294,3,),0),IF('Biodiversity Assessment'!$Z$102&gt;0,'Biodiversity Assessment'!$Z$102*VLOOKUP(CONCATENATE($B22,$C22,'ESVD - Land Use &amp; Climate Match'!$A$11)&amp;"1",'ESVD - SUMMARY TABLE'!$E$2:$G$294,3,FALSE),0)+IF('Biodiversity Assessment'!$Z$103&gt;0,'Biodiversity Assessment'!$Z$103*VLOOKUP(CONCATENATE($B22,$C22,'ESVD - Land Use &amp; Climate Match'!$A$11)&amp;"2",'ESVD - SUMMARY TABLE'!$E$2:$G$294,3,FALSE),0)+IF('Biodiversity Assessment'!$Z$104&gt;0,'Biodiversity Assessment'!$Z$104*VLOOKUP(CONCATENATE($B22,$C22,'ESVD - Land Use &amp; Climate Match'!$A$11)&amp;"3",'ESVD - SUMMARY TABLE'!$E$2:$G$294,3,FALSE),0)+IF('Biodiversity Assessment'!$Z$105&gt;0,'Biodiversity Assessment'!$Z$105*VLOOKUP(CONCATENATE($B22,$C22,'ESVD - Land Use &amp; Climate Match'!$A$11)&amp;"4",'ESVD - SUMMARY TABLE'!$E$2:$G$294,3,FALSE),0),IF('Biodiversity Assessment'!$BD$102&gt;0,'Biodiversity Assessment'!$BD$102*VLOOKUP(CONCATENATE($B22,$C22,'ESVD - Land Use &amp; Climate Match'!$A$32)&amp;"1",'ESVD - SUMMARY TABLE'!$E$2:$G$294,3,FALSE),0)+IF('Biodiversity Assessment'!$BD$103&gt;0,'Biodiversity Assessment'!$BD$103*VLOOKUP(CONCATENATE($B22,$C22,'ESVD - Land Use &amp; Climate Match'!$A$32)&amp;"2",'ESVD - SUMMARY TABLE'!$E$2:$G$294,3,FALSE),0)+IF('Biodiversity Assessment'!$BD$104&gt;0,'Biodiversity Assessment'!$BD$104*VLOOKUP(CONCATENATE($B22,$C22,'ESVD - Land Use &amp; Climate Match'!$A$32)&amp;"3",'ESVD - SUMMARY TABLE'!$E$2:$G$294,3,FALSE),0)+IF('Biodiversity Assessment'!$BD$105&gt;0,'Biodiversity Assessment'!$BD$105*VLOOKUP(CONCATENATE($B22,$C22,'ESVD - Land Use &amp; Climate Match'!$A$32)&amp;"4",'ESVD - SUMMARY TABLE'!$E$2:$G$294,3,FALSE),0)+IF('Biodiversity Assessment'!$BD$106&gt;0,'Biodiversity Assessment'!$BD$106*VLOOKUP(CONCATENATE($B22,$C22,'ESVD - Land Use &amp; Climate Match'!$A$32)&amp;"5",'ESVD - SUMMARY TABLE'!$E$2:$G$294,3,FALSE)))))),0)</f>
        <v>0</v>
      </c>
      <c r="H22" s="122">
        <f>IFERROR(IF(E22='ESVD - Land Use &amp; Climate Match'!$A$1,IF(SUM('Biodiversity Assessment'!$O$102:$P$105)=SUM('Biodiversity Assessment'!$J$102:$M$105),IF('Biodiversity Assessment'!$O$102&gt;0,'Biodiversity Assessment'!$O$102*VLOOKUP('ESVD - Social Value of Bio'!F22&amp;"1",'ESVD - SUMMARY TABLE'!$E$2:$G$294,3,),0)+IF('Biodiversity Assessment'!$O$103&gt;0,'Biodiversity Assessment'!$O$103*VLOOKUP('ESVD - Social Value of Bio'!F22&amp;"2",'ESVD - SUMMARY TABLE'!$E$2:$G$294,3,),0)+IF('Biodiversity Assessment'!$O$104&gt;0,'Biodiversity Assessment'!$O$104*VLOOKUP('ESVD - Social Value of Bio'!F22&amp;"3",'ESVD - SUMMARY TABLE'!$E$2:$G$294,3,),0)+IF('Biodiversity Assessment'!$O$105&gt;0,'Biodiversity Assessment'!$O$105*VLOOKUP('ESVD - Social Value of Bio'!F22&amp;"4",'ESVD - SUMMARY TABLE'!$E$2:$G$294,3,),0),0),IF(E22='ESVD - Land Use &amp; Climate Match'!$A$11,IF(SUM('Biodiversity Assessment'!$AH$102:$AN$105)=SUM('Biodiversity Assessment'!$Z$102:$AF$105),IF('Biodiversity Assessment'!$AH$102&gt;0,'Biodiversity Assessment'!$AH$102*VLOOKUP('ESVD - Social Value of Bio'!F22&amp;"1",'ESVD - SUMMARY TABLE'!$E$2:$G$294,3,FALSE),0)+IF('Biodiversity Assessment'!$AH$103&gt;0,'Biodiversity Assessment'!$AH$103*VLOOKUP('ESVD - Social Value of Bio'!F22&amp;"2",'ESVD - SUMMARY TABLE'!$E$2:$G$294,3,FALSE),0)+IF('Biodiversity Assessment'!$AH$104&gt;0,'Biodiversity Assessment'!$AH$104*VLOOKUP('ESVD - Social Value of Bio'!F22&amp;"3",'ESVD - SUMMARY TABLE'!$E$2:$G$294,3,FALSE),0)+IF('Biodiversity Assessment'!$AH$105&gt;0,'Biodiversity Assessment'!$AH$105*VLOOKUP('ESVD - Social Value of Bio'!F22&amp;"4",'ESVD - SUMMARY TABLE'!$E$2:$G$294,3,FALSE),0),0),IF(E22='ESVD - Land Use &amp; Climate Match'!$A$32,IF(SUM('Biodiversity Assessment'!$BF$102:$BF$106)=SUM('Biodiversity Assessment'!$BD$102:$BD$106),IF('Biodiversity Assessment'!$BF$102&gt;0,'Biodiversity Assessment'!$BF$102*VLOOKUP('ESVD - Social Value of Bio'!F22&amp;"1",'ESVD - SUMMARY TABLE'!$E$2:$G$294,3,FALSE),0)+IF('Biodiversity Assessment'!$BF$103&gt;0,'Biodiversity Assessment'!$BF$103*VLOOKUP('ESVD - Social Value of Bio'!F22&amp;"2",'ESVD - SUMMARY TABLE'!$E$2:$G$294,3,FALSE),0)+IF('Biodiversity Assessment'!$BF$104&gt;0,'Biodiversity Assessment'!$BF$104*VLOOKUP('ESVD - Social Value of Bio'!F22&amp;"3",'ESVD - SUMMARY TABLE'!$E$2:$G$294,3,FALSE),0)+IF('Biodiversity Assessment'!$BF$105&gt;0,'Biodiversity Assessment'!$BF$105*VLOOKUP('ESVD - Social Value of Bio'!F22&amp;"4",'ESVD - SUMMARY TABLE'!$E$2:$G$294,3,FALSE),0)+IF('Biodiversity Assessment'!$BF$106&gt;0,'Biodiversity Assessment'!$BF$106*VLOOKUP('ESVD - Social Value of Bio'!F22&amp;"5",'ESVD - SUMMARY TABLE'!$E$2:$G$294,3,FALSE),0),0),AVERAGE(IF(SUM('Biodiversity Assessment'!$O$102:$P$105)=SUM('Biodiversity Assessment'!$J$102:$M$105),IF('Biodiversity Assessment'!$O$102&gt;0,'Biodiversity Assessment'!$O$102*VLOOKUP(CONCATENATE($B22,$C22,'ESVD - Land Use &amp; Climate Match'!$A$1)&amp;"1",'ESVD - SUMMARY TABLE'!$E$2:$G$294,3,),0)+IF('Biodiversity Assessment'!$O$103&gt;0,'Biodiversity Assessment'!$O$103*VLOOKUP(CONCATENATE($B22,$C22,'ESVD - Land Use &amp; Climate Match'!$A$1)&amp;"2",'ESVD - SUMMARY TABLE'!$E$2:$G$294,3,),0)+IF('Biodiversity Assessment'!$O$104&gt;0,'Biodiversity Assessment'!$O$104*VLOOKUP(CONCATENATE($B22,$C22,'ESVD - Land Use &amp; Climate Match'!$A$1)&amp;"3",'ESVD - SUMMARY TABLE'!$E$2:$G$294,3,),0)+IF('Biodiversity Assessment'!$O$105&gt;0,'Biodiversity Assessment'!$O$105*VLOOKUP(CONCATENATE($B22,$C22,'ESVD - Land Use &amp; Climate Match'!$A$1)&amp;"4",'ESVD - SUMMARY TABLE'!$E$2:$G$294,3,),0),0),IF(SUM('Biodiversity Assessment'!$AH$102:$AN$105)=SUM('Biodiversity Assessment'!$Z$102:$AF$105),IF('Biodiversity Assessment'!$AH$102&gt;0,'Biodiversity Assessment'!$AH$102*VLOOKUP(CONCATENATE($B22,$C22,'ESVD - Land Use &amp; Climate Match'!$A$11)&amp;"1",'ESVD - SUMMARY TABLE'!$E$2:$G$294,3,FALSE),0)+IF('Biodiversity Assessment'!$AH$103&gt;0,'Biodiversity Assessment'!$AH$103*VLOOKUP(CONCATENATE($B22,$C22,'ESVD - Land Use &amp; Climate Match'!$A$11)&amp;"2",'ESVD - SUMMARY TABLE'!$E$2:$G$294,3,FALSE),0)+IF('Biodiversity Assessment'!$AH$104&gt;0,'Biodiversity Assessment'!$AH$104*VLOOKUP(CONCATENATE($B22,$C22,'ESVD - Land Use &amp; Climate Match'!$A$11)&amp;"3",'ESVD - SUMMARY TABLE'!$E$2:$G$294,3,FALSE),0)+IF('Biodiversity Assessment'!$AH$105&gt;0,'Biodiversity Assessment'!$AH$105*VLOOKUP(CONCATENATE($B22,$C22,'ESVD - Land Use &amp; Climate Match'!$A$11)&amp;"4",'ESVD - SUMMARY TABLE'!$E$2:$G$294,3,FALSE),0),0),IF(SUM('Biodiversity Assessment'!$BF$102:$BF$106)=SUM('Biodiversity Assessment'!$BD$102:$BD$106),IF('Biodiversity Assessment'!$BF$102&gt;0,'Biodiversity Assessment'!$BF$102*VLOOKUP(CONCATENATE($B22,$C22,'ESVD - Land Use &amp; Climate Match'!$A$32)&amp;"1",'ESVD - SUMMARY TABLE'!$E$2:$G$294,3,FALSE),0)+IF('Biodiversity Assessment'!$BF$103&gt;0,'Biodiversity Assessment'!$BF$103*VLOOKUP(CONCATENATE($B22,$C22,'ESVD - Land Use &amp; Climate Match'!$A$32)&amp;"2",'ESVD - SUMMARY TABLE'!$E$2:$G$294,3,FALSE),0)+IF('Biodiversity Assessment'!$BF$104&gt;0,'Biodiversity Assessment'!$BF$104*VLOOKUP(CONCATENATE($B22,$C22,'ESVD - Land Use &amp; Climate Match'!$A$32)&amp;"3",'ESVD - SUMMARY TABLE'!$E$2:$G$294,3,FALSE),0)+IF('Biodiversity Assessment'!$BF$105&gt;0,'Biodiversity Assessment'!$BF$105*VLOOKUP(CONCATENATE($B22,$C22,'ESVD - Land Use &amp; Climate Match'!$A$32)&amp;"4",'ESVD - SUMMARY TABLE'!$E$2:$G$294,3,FALSE),0)+IF('Biodiversity Assessment'!$BF$106&gt;0,'Biodiversity Assessment'!$BF$106*VLOOKUP(CONCATENATE($B22,$C22,'ESVD - Land Use &amp; Climate Match'!$A$32)&amp;"5",'ESVD - SUMMARY TABLE'!$E$2:$G$294,3,FALSE),0),0))))),0)</f>
        <v>0</v>
      </c>
      <c r="I22" s="122">
        <f>'Biodiversity Assessment'!CR37</f>
        <v>0</v>
      </c>
      <c r="J22" s="122">
        <f>IFERROR(IF(I22&gt;0,I22*'Biodiversity Assessment'!$M37,IF(H22&gt;0,H22*'Biodiversity Assessment'!$M37,G22*'Biodiversity Assessment'!$M37)),0)</f>
        <v>0</v>
      </c>
      <c r="K22" s="454"/>
      <c r="L22" s="123">
        <f>IFERROR(IF(E22='ESVD - Land Use &amp; Climate Match'!$A$1,IF('Biodiversity Assessment'!$J$102&gt;0,'Biodiversity Assessment'!$J$102*VLOOKUP('ESVD - Social Value of Bio'!F22&amp;"1",'ESVD - SUMMARY TABLE'!$E$2:$G$294,3,),0)+IF('Biodiversity Assessment'!$J$103&gt;0,'Biodiversity Assessment'!$J$103*VLOOKUP('ESVD - Social Value of Bio'!F22&amp;"2",'ESVD - SUMMARY TABLE'!$E$2:$G$294,3,),0)+IF('Biodiversity Assessment'!$J$104&gt;0,'Biodiversity Assessment'!$J$104*VLOOKUP('ESVD - Social Value of Bio'!F22&amp;"3",'ESVD - SUMMARY TABLE'!$E$2:$G$294,3,),0)+IF('Biodiversity Assessment'!$J$105&gt;0,'Biodiversity Assessment'!$J$105*VLOOKUP('ESVD - Social Value of Bio'!F22&amp;"4",'ESVD - SUMMARY TABLE'!$E$2:$G$294,3,),0),IF(E22='ESVD - Land Use &amp; Climate Match'!$A$11,IF('Biodiversity Assessment'!$Z$102&gt;0,'Biodiversity Assessment'!$Z$102*VLOOKUP('ESVD - Social Value of Bio'!F22&amp;"1",'ESVD - SUMMARY TABLE'!$E$2:$G$294,3,FALSE),0)+IF('Biodiversity Assessment'!$Z$103&gt;0,'Biodiversity Assessment'!$Z$103*VLOOKUP('ESVD - Social Value of Bio'!F22&amp;"2",'ESVD - SUMMARY TABLE'!$E$2:$G$294,3,FALSE),0)+IF('Biodiversity Assessment'!$Z$104&gt;0,'Biodiversity Assessment'!$Z$104*VLOOKUP('ESVD - Social Value of Bio'!F22&amp;"3",'ESVD - SUMMARY TABLE'!$E$2:$G$294,3,FALSE),0)+IF('Biodiversity Assessment'!$Z$105&gt;0,'Biodiversity Assessment'!$Z$105*VLOOKUP('ESVD - Social Value of Bio'!F22&amp;"4",'ESVD - SUMMARY TABLE'!$E$2:$G$294,3,FALSE),0),IF(E22='ESVD - Land Use &amp; Climate Match'!$A$32,IF('Biodiversity Assessment'!$BD$102&gt;0,'Biodiversity Assessment'!$BD$102*VLOOKUP('ESVD - Social Value of Bio'!F22&amp;"1",'ESVD - SUMMARY TABLE'!$E$2:$G$294,3,FALSE),0)+IF('Biodiversity Assessment'!$BD$103&gt;0,'Biodiversity Assessment'!$BD$103*VLOOKUP('ESVD - Social Value of Bio'!F22&amp;"2",'ESVD - SUMMARY TABLE'!$E$2:$G$294,3,FALSE),0)+IF('Biodiversity Assessment'!$BD$104&gt;0,'Biodiversity Assessment'!$BD$104*VLOOKUP('ESVD - Social Value of Bio'!F22&amp;"3",'ESVD - SUMMARY TABLE'!$E$2:$G$294,3,FALSE),0)+IF('Biodiversity Assessment'!$BD$105&gt;0,'Biodiversity Assessment'!$BD$105*VLOOKUP('ESVD - Social Value of Bio'!F22&amp;"4",'ESVD - SUMMARY TABLE'!$E$2:$G$294,3,FALSE),0)+IF('Biodiversity Assessment'!$BD$106&gt;0,'Biodiversity Assessment'!$BD$106*VLOOKUP('ESVD - Social Value of Bio'!F22&amp;"5",'ESVD - SUMMARY TABLE'!$E$2:$G$294,3,FALSE),0),VLOOKUP('ESVD - Social Value of Bio'!F22&amp;"1",'ESVD - SUMMARY TABLE'!$E$2:$G$294,3,FALSE)))),0)</f>
        <v>0</v>
      </c>
      <c r="M22" s="123">
        <f>IFERROR(IF(E22='ESVD - Land Use &amp; Climate Match'!$A$1,IF(SUM('Biodiversity Assessment'!$O$102:$P$105)=SUM('Biodiversity Assessment'!$J$102:$M$105),IF('Biodiversity Assessment'!$O$102&gt;0,'Biodiversity Assessment'!$O$102*VLOOKUP('ESVD - Social Value of Bio'!F22&amp;"1",'ESVD - SUMMARY TABLE'!$E$2:$G$294,3,),0)+IF('Biodiversity Assessment'!$O$103&gt;0,'Biodiversity Assessment'!$O$103*VLOOKUP('ESVD - Social Value of Bio'!F22&amp;"2",'ESVD - SUMMARY TABLE'!$E$2:$G$294,3,),0)+IF('Biodiversity Assessment'!$O$104&gt;0,'Biodiversity Assessment'!$O$104*VLOOKUP('ESVD - Social Value of Bio'!F22&amp;"3",'ESVD - SUMMARY TABLE'!$E$2:$G$294,3,),0)+IF('Biodiversity Assessment'!$O$105&gt;0,'Biodiversity Assessment'!$O$105*VLOOKUP('ESVD - Social Value of Bio'!F22&amp;"4",'ESVD - SUMMARY TABLE'!$E$2:$G$294,3,),0),0),IF(E22='ESVD - Land Use &amp; Climate Match'!$A$11,IF(SUM('Biodiversity Assessment'!$AH$102:$AN$105)=SUM('Biodiversity Assessment'!$Z$102:$AF$105),IF('Biodiversity Assessment'!$AH$102&gt;0,'Biodiversity Assessment'!$AH$102*VLOOKUP('ESVD - Social Value of Bio'!F22&amp;"1",'ESVD - SUMMARY TABLE'!$E$2:$G$294,3,FALSE),0)+IF('Biodiversity Assessment'!$AH$103&gt;0,'Biodiversity Assessment'!$AH$103*VLOOKUP('ESVD - Social Value of Bio'!F22&amp;"2",'ESVD - SUMMARY TABLE'!$E$2:$G$294,3,FALSE),0)+IF('Biodiversity Assessment'!$AH$104&gt;0,'Biodiversity Assessment'!$AH$104*VLOOKUP('ESVD - Social Value of Bio'!F22&amp;"3",'ESVD - SUMMARY TABLE'!$E$2:$G$294,3,FALSE),0)+IF('Biodiversity Assessment'!$AH$105&gt;0,'Biodiversity Assessment'!$AH$105*VLOOKUP('ESVD - Social Value of Bio'!F22&amp;"4",'ESVD - SUMMARY TABLE'!$E$2:$G$294,3,FALSE),0),0),IF(E22='ESVD - Land Use &amp; Climate Match'!$A$32,IF(SUM('Biodiversity Assessment'!$BF$102:$BF$106)=SUM('Biodiversity Assessment'!$BD$102:$BD$106),IF('Biodiversity Assessment'!$BF$102&gt;0,'Biodiversity Assessment'!$BF$102*VLOOKUP('ESVD - Social Value of Bio'!F22&amp;"1",'ESVD - SUMMARY TABLE'!$E$2:$G$294,3,FALSE),0)+IF('Biodiversity Assessment'!$BF$103&gt;0,'Biodiversity Assessment'!$BF$103*VLOOKUP('ESVD - Social Value of Bio'!F22&amp;"2",'ESVD - SUMMARY TABLE'!$E$2:$G$294,3,FALSE),0)+IF('Biodiversity Assessment'!$BF$104&gt;0,'Biodiversity Assessment'!$BF$104*VLOOKUP('ESVD - Social Value of Bio'!F22&amp;"3",'ESVD - SUMMARY TABLE'!$E$2:$G$294,3,FALSE),0)+IF('Biodiversity Assessment'!$BF$105&gt;0,'Biodiversity Assessment'!$BF$105*VLOOKUP('ESVD - Social Value of Bio'!F22&amp;"4",'ESVD - SUMMARY TABLE'!$E$2:$G$294,3,FALSE),0)+IF('Biodiversity Assessment'!$BF$106&gt;0,'Biodiversity Assessment'!$BF$106*VLOOKUP('ESVD - Social Value of Bio'!F22&amp;"5",'ESVD - SUMMARY TABLE'!$E$2:$G$294,3,FALSE),0),0),VLOOKUP('ESVD - Social Value of Bio'!F22&amp;"1",'ESVD - SUMMARY TABLE'!$E$2:$G$294,3,FALSE)))),0)</f>
        <v>0</v>
      </c>
      <c r="N22" s="123">
        <f>'Biodiversity Assessment'!CR37</f>
        <v>0</v>
      </c>
      <c r="O22" s="124">
        <f>IFERROR(IF(N22&gt;0,N22*'Biodiversity Assessment'!M37,IF(M22&gt;0,M22*'Biodiversity Assessment'!M37,L22*'Biodiversity Assessment'!M37)),0)</f>
        <v>0</v>
      </c>
      <c r="P22" s="456"/>
      <c r="R22" s="108" t="str">
        <f>'Biodiversity Assessment'!O37</f>
        <v>Select land use</v>
      </c>
      <c r="S22" s="109" t="str">
        <f>IF(OR(R22=Data!$E$4,R22=Data!$E$5,R22=Data!$E$6,R22=Data!$E$7),Data!$E$4,IF(OR(R22=Data!$E$9,R22=Data!$E$10,R22=Data!$E$11),Data!$E$9,IF(OR(R22=Data!$E$12,R22=Data!$E$13,R22=Data!$E$14),"Cropland",IF(OR(R22=Data!$E$16,R22=Data!$E$17),"Agroforestry",R22))))</f>
        <v>Select land use</v>
      </c>
      <c r="T22" s="109" t="str">
        <f t="shared" si="1"/>
        <v>Please selectPlease selectSelect land use</v>
      </c>
      <c r="U22" s="122">
        <f>IFERROR(IF(S22='ESVD - Land Use &amp; Climate Match'!$A$1,IF('Biodiversity Assessment'!$J$102&gt;0,'Biodiversity Assessment'!$J$102*VLOOKUP('ESVD - Social Value of Bio'!T22&amp;"1",'ESVD - SUMMARY TABLE'!$E$2:$G$294,3,),0)+IF('Biodiversity Assessment'!$J$103&gt;0,'Biodiversity Assessment'!$J$103*VLOOKUP('ESVD - Social Value of Bio'!T22&amp;"2",'ESVD - SUMMARY TABLE'!$E$2:$G$294,3,),0)+IF('Biodiversity Assessment'!$J$104&gt;0,'Biodiversity Assessment'!$J$104*VLOOKUP('ESVD - Social Value of Bio'!T22&amp;"3",'ESVD - SUMMARY TABLE'!$E$2:$G$294,3,),0)+IF('Biodiversity Assessment'!$J$105&gt;0,'Biodiversity Assessment'!$J$105*VLOOKUP('ESVD - Social Value of Bio'!T22&amp;"4",'ESVD - SUMMARY TABLE'!$E$2:$G$294,3,),0),IF(S22='ESVD - Land Use &amp; Climate Match'!$A$11,IF('Biodiversity Assessment'!$Z$102&gt;0,'Biodiversity Assessment'!$Z$102*VLOOKUP('ESVD - Social Value of Bio'!T22&amp;"1",'ESVD - SUMMARY TABLE'!$E$2:$G$294,3,FALSE),0)+IF('Biodiversity Assessment'!$Z$103&gt;0,'Biodiversity Assessment'!$Z$103*VLOOKUP('ESVD - Social Value of Bio'!T22&amp;"2",'ESVD - SUMMARY TABLE'!$E$2:$G$294,3,FALSE),0)+IF('Biodiversity Assessment'!$Z$104&gt;0,'Biodiversity Assessment'!$Z$104*VLOOKUP('ESVD - Social Value of Bio'!T22&amp;"3",'ESVD - SUMMARY TABLE'!$E$2:$G$294,3,FALSE),0)+IF('Biodiversity Assessment'!$Z$105&gt;0,'Biodiversity Assessment'!$Z$105*VLOOKUP('ESVD - Social Value of Bio'!T22&amp;"4",'ESVD - SUMMARY TABLE'!$E$2:$G$294,3,FALSE),0),IF(S22='ESVD - Land Use &amp; Climate Match'!$A$32,IF('Biodiversity Assessment'!$BD$102&gt;0,'Biodiversity Assessment'!$BD$102*VLOOKUP('ESVD - Social Value of Bio'!T22&amp;"1",'ESVD - SUMMARY TABLE'!$E$2:$G$294,3,FALSE),0)+IF('Biodiversity Assessment'!$BD$103&gt;0,'Biodiversity Assessment'!$BD$103*VLOOKUP('ESVD - Social Value of Bio'!T22&amp;"2",'ESVD - SUMMARY TABLE'!$E$2:$G$294,3,FALSE),0)+IF('Biodiversity Assessment'!$BD$104&gt;0,'Biodiversity Assessment'!$BD$104*VLOOKUP('ESVD - Social Value of Bio'!T22&amp;"3",'ESVD - SUMMARY TABLE'!$E$2:$G$294,3,FALSE),0)+IF('Biodiversity Assessment'!$BD$105&gt;0,'Biodiversity Assessment'!$BD$105*VLOOKUP('ESVD - Social Value of Bio'!T22&amp;"4",'ESVD - SUMMARY TABLE'!$E$2:$G$294,3,FALSE),0)+IF('Biodiversity Assessment'!$BD$106&gt;0,'Biodiversity Assessment'!$BD$106*VLOOKUP('ESVD - Social Value of Bio'!T22&amp;"5",'ESVD - SUMMARY TABLE'!$E$2:$G$294,3,FALSE),0),AVERAGE(IF('Biodiversity Assessment'!$J$102&gt;0,'Biodiversity Assessment'!$J$102*VLOOKUP(CONCATENATE(B22,C22,'ESVD - Land Use &amp; Climate Match'!$A$1)&amp;"1",'ESVD - SUMMARY TABLE'!$E$2:$G$294,3,),0)+IF('Biodiversity Assessment'!$J$103&gt;0,'Biodiversity Assessment'!$J$103*VLOOKUP(CONCATENATE(B22,C22,'ESVD - Land Use &amp; Climate Match'!$A$1)&amp;"2",'ESVD - SUMMARY TABLE'!$E$2:$G$294,3,),0)+IF('Biodiversity Assessment'!$J$104&gt;0,'Biodiversity Assessment'!$J$104*VLOOKUP(CONCATENATE(B22,C22,'ESVD - Land Use &amp; Climate Match'!$A$1)&amp;"3",'ESVD - SUMMARY TABLE'!$E$2:$G$294,3,),0)+IF('Biodiversity Assessment'!$J$105&gt;0,'Biodiversity Assessment'!$J$105*VLOOKUP(CONCATENATE(B22,C22,'ESVD - Land Use &amp; Climate Match'!$A$1)&amp;"4",'ESVD - SUMMARY TABLE'!$E$2:$G$294,3,),0),IF('Biodiversity Assessment'!$Z$102&gt;0,'Biodiversity Assessment'!$Z$102*VLOOKUP(CONCATENATE(B22,C22,'ESVD - Land Use &amp; Climate Match'!$A$11)&amp;"1",'ESVD - SUMMARY TABLE'!$E$2:$G$294,3,FALSE),0)+IF('Biodiversity Assessment'!$Z$103&gt;0,'Biodiversity Assessment'!$Z$103*VLOOKUP(CONCATENATE(B22,C22,'ESVD - Land Use &amp; Climate Match'!$A$11)&amp;"2",'ESVD - SUMMARY TABLE'!$E$2:$G$294,3,FALSE),0)+IF('Biodiversity Assessment'!$Z$104&gt;0,'Biodiversity Assessment'!$Z$104*VLOOKUP(CONCATENATE(B22,C22,'ESVD - Land Use &amp; Climate Match'!$A$11)&amp;"3",'ESVD - SUMMARY TABLE'!$E$2:$G$294,3,FALSE),0)+IF('Biodiversity Assessment'!$Z$105&gt;0,'Biodiversity Assessment'!$Z$105*VLOOKUP(CONCATENATE(B22,C22,'ESVD - Land Use &amp; Climate Match'!$A$11)&amp;"4",'ESVD - SUMMARY TABLE'!$E$2:$G$294,3,FALSE),0),IF('Biodiversity Assessment'!$BD$102&gt;0,'Biodiversity Assessment'!$BD$102*VLOOKUP(CONCATENATE(B22,C22,'ESVD - Land Use &amp; Climate Match'!$A$32)&amp;"1",'ESVD - SUMMARY TABLE'!$E$2:$G$294,3,FALSE),0)+IF('Biodiversity Assessment'!$BD$103&gt;0,'Biodiversity Assessment'!$BD$103*VLOOKUP(CONCATENATE(B22,C22,'ESVD - Land Use &amp; Climate Match'!$A$32)&amp;"2",'ESVD - SUMMARY TABLE'!$E$2:$G$294,3,FALSE),0)+IF('Biodiversity Assessment'!$BD$104&gt;0,'Biodiversity Assessment'!$BD$104*VLOOKUP(CONCATENATE(B22,C22,'ESVD - Land Use &amp; Climate Match'!$A$32)&amp;"3",'ESVD - SUMMARY TABLE'!$E$2:$G$294,3,FALSE),0)+IF('Biodiversity Assessment'!$BD$105&gt;0,'Biodiversity Assessment'!$BD$105*VLOOKUP(CONCATENATE(B22,C22,'ESVD - Land Use &amp; Climate Match'!$A$32)&amp;"4",'ESVD - SUMMARY TABLE'!$E$2:$G$294,3,FALSE),0)+IF('Biodiversity Assessment'!$BD$106&gt;0,'Biodiversity Assessment'!$BD$106*VLOOKUP(CONCATENATE(B22,C22,'ESVD - Land Use &amp; Climate Match'!$A$32)&amp;"5",'ESVD - SUMMARY TABLE'!$E$2:$G$294,3,FALSE)))))),0)</f>
        <v>0</v>
      </c>
      <c r="V22" s="122">
        <f>IFERROR(IF(S22='ESVD - Land Use &amp; Climate Match'!$A$1,IF(SUM('Biodiversity Assessment'!$O$102:$P$105)=SUM('Biodiversity Assessment'!$J$102:$M$105),IF('Biodiversity Assessment'!$O$102&gt;0,'Biodiversity Assessment'!$O$102*VLOOKUP('ESVD - Social Value of Bio'!T22&amp;"1",'ESVD - SUMMARY TABLE'!$E$2:$G$294,3,),0)+IF('Biodiversity Assessment'!$O$103&gt;0,'Biodiversity Assessment'!$O$103*VLOOKUP('ESVD - Social Value of Bio'!T22&amp;"2",'ESVD - SUMMARY TABLE'!$E$2:$G$294,3,),0)+IF('Biodiversity Assessment'!$O$104&gt;0,'Biodiversity Assessment'!$O$104*VLOOKUP('ESVD - Social Value of Bio'!T22&amp;"3",'ESVD - SUMMARY TABLE'!$E$2:$G$294,3,),0)+IF('Biodiversity Assessment'!$O$105&gt;0,'Biodiversity Assessment'!$O$105*VLOOKUP('ESVD - Social Value of Bio'!T22&amp;"4",'ESVD - SUMMARY TABLE'!$E$2:$G$294,3,),0),0),IF(S22='ESVD - Land Use &amp; Climate Match'!$A$11,IF(SUM('Biodiversity Assessment'!$AH$102:$AN$105)=SUM('Biodiversity Assessment'!$Z$102:$AF$105),IF('Biodiversity Assessment'!$AH$102&gt;0,'Biodiversity Assessment'!$AH$102*VLOOKUP('ESVD - Social Value of Bio'!T22&amp;"1",'ESVD - SUMMARY TABLE'!$E$2:$G$294,3,FALSE),0)+IF('Biodiversity Assessment'!$AH$103&gt;0,'Biodiversity Assessment'!$AH$103*VLOOKUP('ESVD - Social Value of Bio'!T22&amp;"2",'ESVD - SUMMARY TABLE'!$E$2:$G$294,3,FALSE),0)+IF('Biodiversity Assessment'!$AH$104&gt;0,'Biodiversity Assessment'!$AH$104*VLOOKUP('ESVD - Social Value of Bio'!T22&amp;"3",'ESVD - SUMMARY TABLE'!$E$2:$G$294,3,FALSE),0)+IF('Biodiversity Assessment'!$AH$105&gt;0,'Biodiversity Assessment'!$AH$105*VLOOKUP('ESVD - Social Value of Bio'!T22&amp;"4",'ESVD - SUMMARY TABLE'!$E$2:$G$294,3,FALSE),0),0),IF(S22='ESVD - Land Use &amp; Climate Match'!$A$32,IF(SUM('Biodiversity Assessment'!$BF$102:$BF$106)=SUM('Biodiversity Assessment'!$BD$102:$BD$106),IF('Biodiversity Assessment'!$BF$102&gt;0,'Biodiversity Assessment'!$BF$102*VLOOKUP('ESVD - Social Value of Bio'!T22&amp;"1",'ESVD - SUMMARY TABLE'!$E$2:$G$294,3,FALSE),0)+IF('Biodiversity Assessment'!$BF$103&gt;0,'Biodiversity Assessment'!$BF$103*VLOOKUP('ESVD - Social Value of Bio'!T22&amp;"2",'ESVD - SUMMARY TABLE'!$E$2:$G$294,3,FALSE),0)+IF('Biodiversity Assessment'!$BF$104&gt;0,'Biodiversity Assessment'!$BF$104*VLOOKUP('ESVD - Social Value of Bio'!T22&amp;"3",'ESVD - SUMMARY TABLE'!$E$2:$G$294,3,FALSE),0)+IF('Biodiversity Assessment'!$BF$105&gt;0,'Biodiversity Assessment'!$BF$105*VLOOKUP('ESVD - Social Value of Bio'!T22&amp;"4",'ESVD - SUMMARY TABLE'!$E$2:$G$294,3,FALSE),0)+IF('Biodiversity Assessment'!$BF$106&gt;0,'Biodiversity Assessment'!$BF$106*VLOOKUP('ESVD - Social Value of Bio'!T22&amp;"5",'ESVD - SUMMARY TABLE'!$E$2:$G$294,3,FALSE),0),0),AVERAGE(IF(SUM('Biodiversity Assessment'!$O$102:$P$105)=SUM('Biodiversity Assessment'!$J$102:$M$105),IF('Biodiversity Assessment'!$O$102&gt;0,'Biodiversity Assessment'!$O$102*VLOOKUP(CONCATENATE($B22,$C22,'ESVD - Land Use &amp; Climate Match'!$A$1)&amp;"1",'ESVD - SUMMARY TABLE'!$E$2:$G$294,3,),0)+IF('Biodiversity Assessment'!$O$103&gt;0,'Biodiversity Assessment'!$O$103*VLOOKUP(CONCATENATE($B22,$C22,'ESVD - Land Use &amp; Climate Match'!$A$1)&amp;"2",'ESVD - SUMMARY TABLE'!$E$2:$G$294,3,),0)+IF('Biodiversity Assessment'!$O$104&gt;0,'Biodiversity Assessment'!$O$104*VLOOKUP(CONCATENATE($B22,$C22,'ESVD - Land Use &amp; Climate Match'!$A$1)&amp;"3",'ESVD - SUMMARY TABLE'!$E$2:$G$294,3,),0)+IF('Biodiversity Assessment'!$O$105&gt;0,'Biodiversity Assessment'!$O$105*VLOOKUP(CONCATENATE($B22,$C22,'ESVD - Land Use &amp; Climate Match'!$A$1)&amp;"4",'ESVD - SUMMARY TABLE'!$E$2:$G$294,3,),0),0),IF(SUM('Biodiversity Assessment'!$AH$102:$AN$105)=SUM('Biodiversity Assessment'!$Z$102:$AF$105),IF('Biodiversity Assessment'!$AH$102&gt;0,'Biodiversity Assessment'!$AH$102*VLOOKUP(CONCATENATE($B22,$C22,'ESVD - Land Use &amp; Climate Match'!$A$11)&amp;"1",'ESVD - SUMMARY TABLE'!$E$2:$G$294,3,FALSE),0)+IF('Biodiversity Assessment'!$AH$103&gt;0,'Biodiversity Assessment'!$AH$103*VLOOKUP(CONCATENATE($B22,$C22,'ESVD - Land Use &amp; Climate Match'!$A$11)&amp;"2",'ESVD - SUMMARY TABLE'!$E$2:$G$294,3,FALSE),0)+IF('Biodiversity Assessment'!$AH$104&gt;0,'Biodiversity Assessment'!$AH$104*VLOOKUP(CONCATENATE($B22,$C22,'ESVD - Land Use &amp; Climate Match'!$A$11)&amp;"3",'ESVD - SUMMARY TABLE'!$E$2:$G$294,3,FALSE),0)+IF('Biodiversity Assessment'!$AH$105&gt;0,'Biodiversity Assessment'!$AH$105*VLOOKUP(CONCATENATE($B22,$C22,'ESVD - Land Use &amp; Climate Match'!$A$11)&amp;"4",'ESVD - SUMMARY TABLE'!$E$2:$G$294,3,FALSE),0),0),IF(SUM('Biodiversity Assessment'!$BF$102:$BF$106)=SUM('Biodiversity Assessment'!$BD$102:$BD$106),IF('Biodiversity Assessment'!$BF$102&gt;0,'Biodiversity Assessment'!$BF$102*VLOOKUP(CONCATENATE($B22,$C22,'ESVD - Land Use &amp; Climate Match'!$A$32)&amp;"1",'ESVD - SUMMARY TABLE'!$E$2:$G$294,3,FALSE),0)+IF('Biodiversity Assessment'!$BF$103&gt;0,'Biodiversity Assessment'!$BF$103*VLOOKUP(CONCATENATE($B22,$C22,'ESVD - Land Use &amp; Climate Match'!$A$32)&amp;"2",'ESVD - SUMMARY TABLE'!$E$2:$G$294,3,FALSE),0)+IF('Biodiversity Assessment'!$BF$104&gt;0,'Biodiversity Assessment'!$BF$104*VLOOKUP(CONCATENATE($B22,$C22,'ESVD - Land Use &amp; Climate Match'!$A$32)&amp;"3",'ESVD - SUMMARY TABLE'!$E$2:$G$294,3,FALSE),0)+IF('Biodiversity Assessment'!$BF$105&gt;0,'Biodiversity Assessment'!$BF$105*VLOOKUP(CONCATENATE($B22,$C22,'ESVD - Land Use &amp; Climate Match'!$A$32)&amp;"4",'ESVD - SUMMARY TABLE'!$E$2:$G$294,3,FALSE),0)+IF('Biodiversity Assessment'!$BF$106&gt;0,'Biodiversity Assessment'!$BF$106*VLOOKUP(CONCATENATE($B22,$C22,'ESVD - Land Use &amp; Climate Match'!$A$32)&amp;"5",'ESVD - SUMMARY TABLE'!$E$2:$G$294,3,FALSE),0),0))))),0)</f>
        <v>0</v>
      </c>
      <c r="W22" s="122">
        <f>'Biodiversity Assessment'!CX37</f>
        <v>0</v>
      </c>
      <c r="X22" s="122">
        <f>IFERROR(IF(W22&gt;0,W22*'Biodiversity Assessment'!$U37,IF(V22&gt;0,V22*'Biodiversity Assessment'!$U37,U22*'Biodiversity Assessment'!$U37)),0)</f>
        <v>0</v>
      </c>
      <c r="Y22" s="454"/>
      <c r="Z22" s="123">
        <f>IFERROR(IF(S22='ESVD - Land Use &amp; Climate Match'!$A$1,IF('Biodiversity Assessment'!$J$102&gt;0,'Biodiversity Assessment'!$J$102*VLOOKUP('ESVD - Social Value of Bio'!T22&amp;"1",'ESVD - SUMMARY TABLE'!$E$2:$G$294,3,),0)+IF('Biodiversity Assessment'!$J$103&gt;0,'Biodiversity Assessment'!$J$103*VLOOKUP('ESVD - Social Value of Bio'!T22&amp;"2",'ESVD - SUMMARY TABLE'!$E$2:$G$294,3,),0)+IF('Biodiversity Assessment'!$J$104&gt;0,'Biodiversity Assessment'!$J$104*VLOOKUP('ESVD - Social Value of Bio'!T22&amp;"3",'ESVD - SUMMARY TABLE'!$E$2:$G$294,3,),0)+IF('Biodiversity Assessment'!$J$105&gt;0,'Biodiversity Assessment'!$J$105*VLOOKUP('ESVD - Social Value of Bio'!T22&amp;"4",'ESVD - SUMMARY TABLE'!$E$2:$G$294,3,),0),IF(S22='ESVD - Land Use &amp; Climate Match'!$A$11,IF('Biodiversity Assessment'!$Z$102&gt;0,'Biodiversity Assessment'!$Z$102*VLOOKUP('ESVD - Social Value of Bio'!T22&amp;"1",'ESVD - SUMMARY TABLE'!$E$2:$G$294,3,FALSE),0)+IF('Biodiversity Assessment'!$Z$103&gt;0,'Biodiversity Assessment'!$Z$103*VLOOKUP('ESVD - Social Value of Bio'!T22&amp;"2",'ESVD - SUMMARY TABLE'!$E$2:$G$294,3,FALSE),0)+IF('Biodiversity Assessment'!$Z$104&gt;0,'Biodiversity Assessment'!$Z$104*VLOOKUP('ESVD - Social Value of Bio'!T22&amp;"3",'ESVD - SUMMARY TABLE'!$E$2:$G$294,3,FALSE),0)+IF('Biodiversity Assessment'!$Z$105&gt;0,'Biodiversity Assessment'!$Z$105*VLOOKUP('ESVD - Social Value of Bio'!T22&amp;"4",'ESVD - SUMMARY TABLE'!$E$2:$G$294,3,FALSE),0),IF(S22='ESVD - Land Use &amp; Climate Match'!$A$32,IF('Biodiversity Assessment'!$BD$102&gt;0,'Biodiversity Assessment'!$BD$102*VLOOKUP('ESVD - Social Value of Bio'!T22&amp;"1",'ESVD - SUMMARY TABLE'!$E$2:$G$294,3,FALSE),0)+IF('Biodiversity Assessment'!$BD$103&gt;0,'Biodiversity Assessment'!$BD$103*VLOOKUP('ESVD - Social Value of Bio'!T22&amp;"2",'ESVD - SUMMARY TABLE'!$E$2:$G$294,3,FALSE),0)+IF('Biodiversity Assessment'!$BD$104&gt;0,'Biodiversity Assessment'!$BD$104*VLOOKUP('ESVD - Social Value of Bio'!T22&amp;"3",'ESVD - SUMMARY TABLE'!$E$2:$G$294,3,FALSE),0)+IF('Biodiversity Assessment'!$BD$105&gt;0,'Biodiversity Assessment'!$BD$105*VLOOKUP('ESVD - Social Value of Bio'!T22&amp;"4",'ESVD - SUMMARY TABLE'!$E$2:$G$294,3,FALSE),0)+IF('Biodiversity Assessment'!$BD$106&gt;0,'Biodiversity Assessment'!$BD$106*VLOOKUP('ESVD - Social Value of Bio'!T22&amp;"5",'ESVD - SUMMARY TABLE'!$E$2:$G$294,3,FALSE),0),VLOOKUP('ESVD - Social Value of Bio'!T22&amp;"1",'ESVD - SUMMARY TABLE'!$E$2:$G$294,3,FALSE)))),0)</f>
        <v>0</v>
      </c>
      <c r="AA22" s="123">
        <f>IFERROR(IF(S22='ESVD - Land Use &amp; Climate Match'!$A$1,IF(SUM('Biodiversity Assessment'!$O$102:$P$105)=SUM('Biodiversity Assessment'!$J$102:$M$105),IF('Biodiversity Assessment'!$O$102&gt;0,'Biodiversity Assessment'!$O$102*VLOOKUP('ESVD - Social Value of Bio'!T22&amp;"1",'ESVD - SUMMARY TABLE'!$E$2:$G$294,3,),0)+IF('Biodiversity Assessment'!$O$103&gt;0,'Biodiversity Assessment'!$O$103*VLOOKUP('ESVD - Social Value of Bio'!T22&amp;"2",'ESVD - SUMMARY TABLE'!$E$2:$G$294,3,),0)+IF('Biodiversity Assessment'!$O$104&gt;0,'Biodiversity Assessment'!$O$104*VLOOKUP('ESVD - Social Value of Bio'!T22&amp;"3",'ESVD - SUMMARY TABLE'!$E$2:$G$294,3,),0)+IF('Biodiversity Assessment'!$O$105&gt;0,'Biodiversity Assessment'!$O$105*VLOOKUP('ESVD - Social Value of Bio'!T22&amp;"4",'ESVD - SUMMARY TABLE'!$E$2:$G$294,3,),0),0),IF(S22='ESVD - Land Use &amp; Climate Match'!$A$11,IF(SUM('Biodiversity Assessment'!$AH$102:$AN$105)=SUM('Biodiversity Assessment'!$Z$102:$AF$105),IF('Biodiversity Assessment'!$AH$102&gt;0,'Biodiversity Assessment'!$AH$102*VLOOKUP('ESVD - Social Value of Bio'!T22&amp;"1",'ESVD - SUMMARY TABLE'!$E$2:$G$294,3,FALSE),0)+IF('Biodiversity Assessment'!$AH$103&gt;0,'Biodiversity Assessment'!$AH$103*VLOOKUP('ESVD - Social Value of Bio'!T22&amp;"2",'ESVD - SUMMARY TABLE'!$E$2:$G$294,3,FALSE),0)+IF('Biodiversity Assessment'!$AH$104&gt;0,'Biodiversity Assessment'!$AH$104*VLOOKUP('ESVD - Social Value of Bio'!T22&amp;"3",'ESVD - SUMMARY TABLE'!$E$2:$G$294,3,FALSE),0)+IF('Biodiversity Assessment'!$AH$105&gt;0,'Biodiversity Assessment'!$AH$105*VLOOKUP('ESVD - Social Value of Bio'!T22&amp;"4",'ESVD - SUMMARY TABLE'!$E$2:$G$294,3,FALSE),0),0),IF(S22='ESVD - Land Use &amp; Climate Match'!$A$32,IF(SUM('Biodiversity Assessment'!$BF$102:$BF$106)=SUM('Biodiversity Assessment'!$BD$102:$BD$106),IF('Biodiversity Assessment'!$BF$102&gt;0,'Biodiversity Assessment'!$BF$102*VLOOKUP('ESVD - Social Value of Bio'!T22&amp;"1",'ESVD - SUMMARY TABLE'!$E$2:$G$294,3,FALSE),0)+IF('Biodiversity Assessment'!$BF$103&gt;0,'Biodiversity Assessment'!$BF$103*VLOOKUP('ESVD - Social Value of Bio'!T22&amp;"2",'ESVD - SUMMARY TABLE'!$E$2:$G$294,3,FALSE),0)+IF('Biodiversity Assessment'!$BF$104&gt;0,'Biodiversity Assessment'!$BF$104*VLOOKUP('ESVD - Social Value of Bio'!T22&amp;"3",'ESVD - SUMMARY TABLE'!$E$2:$G$294,3,FALSE),0)+IF('Biodiversity Assessment'!$BF$105&gt;0,'Biodiversity Assessment'!$BF$105*VLOOKUP('ESVD - Social Value of Bio'!T22&amp;"4",'ESVD - SUMMARY TABLE'!$E$2:$G$294,3,FALSE),0)+IF('Biodiversity Assessment'!$BF$106&gt;0,'Biodiversity Assessment'!$BF$106*VLOOKUP('ESVD - Social Value of Bio'!T22&amp;"5",'ESVD - SUMMARY TABLE'!$E$2:$G$294,3,FALSE),0),0),VLOOKUP('ESVD - Social Value of Bio'!T22&amp;"1",'ESVD - SUMMARY TABLE'!$E$2:$G$294,3,FALSE)))),0)</f>
        <v>0</v>
      </c>
      <c r="AB22" s="123">
        <f>'Biodiversity Assessment'!CX37</f>
        <v>0</v>
      </c>
      <c r="AC22" s="124">
        <f>IFERROR(IF(AB22&gt;0,AB22*'Biodiversity Assessment'!U37,IF(AA22&gt;0,AA22*'Biodiversity Assessment'!U37,Z22*'Biodiversity Assessment'!U37)),0)</f>
        <v>0</v>
      </c>
      <c r="AD22" s="456"/>
      <c r="AG22" s="453"/>
    </row>
    <row r="23" spans="1:33" s="110" customFormat="1" ht="10.5" x14ac:dyDescent="0.25">
      <c r="A23" s="107" t="s">
        <v>398</v>
      </c>
      <c r="B23" s="108" t="str">
        <f>IF(Start!$D$28&gt;1000,CONCATENATE(Start!$D$20," Mountain"),Start!$D$20)</f>
        <v>Please select</v>
      </c>
      <c r="C23" s="108" t="str">
        <f>Start!$D$24</f>
        <v>Please select</v>
      </c>
      <c r="D23" s="109" t="str">
        <f>'Biodiversity Assessment'!G38</f>
        <v>Select land use</v>
      </c>
      <c r="E23" s="109" t="str">
        <f>IF(OR(D23=Data!$E$4,D23=Data!$E$5,D23=Data!$E$6,D23=Data!$E$7),Data!$E$4,IF(OR(D23=Data!$E$9,D23=Data!$E$10,D23=Data!$E$11),Data!$E$9,IF(OR(D23=Data!$E$12,D23=Data!$E$13,D23=Data!$E$14),"Cropland",IF(OR(D23=Data!$E$16,D23=Data!$E$17),"Agroforestry",D23))))</f>
        <v>Select land use</v>
      </c>
      <c r="F23" s="109" t="str">
        <f t="shared" si="0"/>
        <v>Please selectPlease selectSelect land use</v>
      </c>
      <c r="G23" s="122">
        <f>IFERROR(IF(E23='ESVD - Land Use &amp; Climate Match'!$A$1,IF('Biodiversity Assessment'!$J$102&gt;0,'Biodiversity Assessment'!$J$102*VLOOKUP('ESVD - Social Value of Bio'!F23&amp;"1",'ESVD - SUMMARY TABLE'!$E$2:$G$294,3,),0)+IF('Biodiversity Assessment'!$J$103&gt;0,'Biodiversity Assessment'!$J$103*VLOOKUP('ESVD - Social Value of Bio'!F23&amp;"2",'ESVD - SUMMARY TABLE'!$E$2:$G$294,3,),0)+IF('Biodiversity Assessment'!$J$104&gt;0,'Biodiversity Assessment'!$J$104*VLOOKUP('ESVD - Social Value of Bio'!F23&amp;"3",'ESVD - SUMMARY TABLE'!$E$2:$G$294,3,),0)+IF('Biodiversity Assessment'!$J$105&gt;0,'Biodiversity Assessment'!$J$105*VLOOKUP('ESVD - Social Value of Bio'!F23&amp;"4",'ESVD - SUMMARY TABLE'!$E$2:$G$294,3,),0),IF(E23='ESVD - Land Use &amp; Climate Match'!$A$11,IF('Biodiversity Assessment'!$Z$102&gt;0,'Biodiversity Assessment'!$Z$102*VLOOKUP('ESVD - Social Value of Bio'!F23&amp;"1",'ESVD - SUMMARY TABLE'!$E$2:$G$294,3,FALSE),0)+IF('Biodiversity Assessment'!$Z$103&gt;0,'Biodiversity Assessment'!$Z$103*VLOOKUP('ESVD - Social Value of Bio'!F23&amp;"2",'ESVD - SUMMARY TABLE'!$E$2:$G$294,3,FALSE),0)+IF('Biodiversity Assessment'!$Z$104&gt;0,'Biodiversity Assessment'!$Z$104*VLOOKUP('ESVD - Social Value of Bio'!F23&amp;"3",'ESVD - SUMMARY TABLE'!$E$2:$G$294,3,FALSE),0)+IF('Biodiversity Assessment'!$Z$105&gt;0,'Biodiversity Assessment'!$Z$105*VLOOKUP('ESVD - Social Value of Bio'!F23&amp;"4",'ESVD - SUMMARY TABLE'!$E$2:$G$294,3,FALSE),0),IF(E23='ESVD - Land Use &amp; Climate Match'!$A$32,IF('Biodiversity Assessment'!$BD$102&gt;0,'Biodiversity Assessment'!$BD$102*VLOOKUP('ESVD - Social Value of Bio'!F23&amp;"1",'ESVD - SUMMARY TABLE'!$E$2:$G$294,3,FALSE),0)+IF('Biodiversity Assessment'!$BD$103&gt;0,'Biodiversity Assessment'!$BD$103*VLOOKUP('ESVD - Social Value of Bio'!F23&amp;"2",'ESVD - SUMMARY TABLE'!$E$2:$G$294,3,FALSE),0)+IF('Biodiversity Assessment'!$BD$104&gt;0,'Biodiversity Assessment'!$BD$104*VLOOKUP('ESVD - Social Value of Bio'!F23&amp;"3",'ESVD - SUMMARY TABLE'!$E$2:$G$294,3,FALSE),0)+IF('Biodiversity Assessment'!$BD$105&gt;0,'Biodiversity Assessment'!$BD$105*VLOOKUP('ESVD - Social Value of Bio'!F23&amp;"4",'ESVD - SUMMARY TABLE'!$E$2:$G$294,3,FALSE),0)+IF('Biodiversity Assessment'!$BD$106&gt;0,'Biodiversity Assessment'!$BD$106*VLOOKUP('ESVD - Social Value of Bio'!F23&amp;"5",'ESVD - SUMMARY TABLE'!$E$2:$G$294,3,FALSE),0),AVERAGE(IF('Biodiversity Assessment'!$J$102&gt;0,'Biodiversity Assessment'!$J$102*VLOOKUP(CONCATENATE($B23,$C23,'ESVD - Land Use &amp; Climate Match'!$A$1)&amp;"1",'ESVD - SUMMARY TABLE'!$E$2:$G$294,3,),0)+IF('Biodiversity Assessment'!$J$103&gt;0,'Biodiversity Assessment'!$J$103*VLOOKUP(CONCATENATE($B23,$C23,'ESVD - Land Use &amp; Climate Match'!$A$1)&amp;"2",'ESVD - SUMMARY TABLE'!$E$2:$G$294,3,),0)+IF('Biodiversity Assessment'!$J$104&gt;0,'Biodiversity Assessment'!$J$104*VLOOKUP(CONCATENATE($B23,$C23,'ESVD - Land Use &amp; Climate Match'!$A$1)&amp;"3",'ESVD - SUMMARY TABLE'!$E$2:$G$294,3,),0)+IF('Biodiversity Assessment'!$J$105&gt;0,'Biodiversity Assessment'!$J$105*VLOOKUP(CONCATENATE($B23,$C23,'ESVD - Land Use &amp; Climate Match'!$A$1)&amp;"4",'ESVD - SUMMARY TABLE'!$E$2:$G$294,3,),0),IF('Biodiversity Assessment'!$Z$102&gt;0,'Biodiversity Assessment'!$Z$102*VLOOKUP(CONCATENATE($B23,$C23,'ESVD - Land Use &amp; Climate Match'!$A$11)&amp;"1",'ESVD - SUMMARY TABLE'!$E$2:$G$294,3,FALSE),0)+IF('Biodiversity Assessment'!$Z$103&gt;0,'Biodiversity Assessment'!$Z$103*VLOOKUP(CONCATENATE($B23,$C23,'ESVD - Land Use &amp; Climate Match'!$A$11)&amp;"2",'ESVD - SUMMARY TABLE'!$E$2:$G$294,3,FALSE),0)+IF('Biodiversity Assessment'!$Z$104&gt;0,'Biodiversity Assessment'!$Z$104*VLOOKUP(CONCATENATE($B23,$C23,'ESVD - Land Use &amp; Climate Match'!$A$11)&amp;"3",'ESVD - SUMMARY TABLE'!$E$2:$G$294,3,FALSE),0)+IF('Biodiversity Assessment'!$Z$105&gt;0,'Biodiversity Assessment'!$Z$105*VLOOKUP(CONCATENATE($B23,$C23,'ESVD - Land Use &amp; Climate Match'!$A$11)&amp;"4",'ESVD - SUMMARY TABLE'!$E$2:$G$294,3,FALSE),0),IF('Biodiversity Assessment'!$BD$102&gt;0,'Biodiversity Assessment'!$BD$102*VLOOKUP(CONCATENATE($B23,$C23,'ESVD - Land Use &amp; Climate Match'!$A$32)&amp;"1",'ESVD - SUMMARY TABLE'!$E$2:$G$294,3,FALSE),0)+IF('Biodiversity Assessment'!$BD$103&gt;0,'Biodiversity Assessment'!$BD$103*VLOOKUP(CONCATENATE($B23,$C23,'ESVD - Land Use &amp; Climate Match'!$A$32)&amp;"2",'ESVD - SUMMARY TABLE'!$E$2:$G$294,3,FALSE),0)+IF('Biodiversity Assessment'!$BD$104&gt;0,'Biodiversity Assessment'!$BD$104*VLOOKUP(CONCATENATE($B23,$C23,'ESVD - Land Use &amp; Climate Match'!$A$32)&amp;"3",'ESVD - SUMMARY TABLE'!$E$2:$G$294,3,FALSE),0)+IF('Biodiversity Assessment'!$BD$105&gt;0,'Biodiversity Assessment'!$BD$105*VLOOKUP(CONCATENATE($B23,$C23,'ESVD - Land Use &amp; Climate Match'!$A$32)&amp;"4",'ESVD - SUMMARY TABLE'!$E$2:$G$294,3,FALSE),0)+IF('Biodiversity Assessment'!$BD$106&gt;0,'Biodiversity Assessment'!$BD$106*VLOOKUP(CONCATENATE($B23,$C23,'ESVD - Land Use &amp; Climate Match'!$A$32)&amp;"5",'ESVD - SUMMARY TABLE'!$E$2:$G$294,3,FALSE)))))),0)</f>
        <v>0</v>
      </c>
      <c r="H23" s="122">
        <f>IFERROR(IF(E23='ESVD - Land Use &amp; Climate Match'!$A$1,IF(SUM('Biodiversity Assessment'!$O$102:$P$105)=SUM('Biodiversity Assessment'!$J$102:$M$105),IF('Biodiversity Assessment'!$O$102&gt;0,'Biodiversity Assessment'!$O$102*VLOOKUP('ESVD - Social Value of Bio'!F23&amp;"1",'ESVD - SUMMARY TABLE'!$E$2:$G$294,3,),0)+IF('Biodiversity Assessment'!$O$103&gt;0,'Biodiversity Assessment'!$O$103*VLOOKUP('ESVD - Social Value of Bio'!F23&amp;"2",'ESVD - SUMMARY TABLE'!$E$2:$G$294,3,),0)+IF('Biodiversity Assessment'!$O$104&gt;0,'Biodiversity Assessment'!$O$104*VLOOKUP('ESVD - Social Value of Bio'!F23&amp;"3",'ESVD - SUMMARY TABLE'!$E$2:$G$294,3,),0)+IF('Biodiversity Assessment'!$O$105&gt;0,'Biodiversity Assessment'!$O$105*VLOOKUP('ESVD - Social Value of Bio'!F23&amp;"4",'ESVD - SUMMARY TABLE'!$E$2:$G$294,3,),0),0),IF(E23='ESVD - Land Use &amp; Climate Match'!$A$11,IF(SUM('Biodiversity Assessment'!$AH$102:$AN$105)=SUM('Biodiversity Assessment'!$Z$102:$AF$105),IF('Biodiversity Assessment'!$AH$102&gt;0,'Biodiversity Assessment'!$AH$102*VLOOKUP('ESVD - Social Value of Bio'!F23&amp;"1",'ESVD - SUMMARY TABLE'!$E$2:$G$294,3,FALSE),0)+IF('Biodiversity Assessment'!$AH$103&gt;0,'Biodiversity Assessment'!$AH$103*VLOOKUP('ESVD - Social Value of Bio'!F23&amp;"2",'ESVD - SUMMARY TABLE'!$E$2:$G$294,3,FALSE),0)+IF('Biodiversity Assessment'!$AH$104&gt;0,'Biodiversity Assessment'!$AH$104*VLOOKUP('ESVD - Social Value of Bio'!F23&amp;"3",'ESVD - SUMMARY TABLE'!$E$2:$G$294,3,FALSE),0)+IF('Biodiversity Assessment'!$AH$105&gt;0,'Biodiversity Assessment'!$AH$105*VLOOKUP('ESVD - Social Value of Bio'!F23&amp;"4",'ESVD - SUMMARY TABLE'!$E$2:$G$294,3,FALSE),0),0),IF(E23='ESVD - Land Use &amp; Climate Match'!$A$32,IF(SUM('Biodiversity Assessment'!$BF$102:$BF$106)=SUM('Biodiversity Assessment'!$BD$102:$BD$106),IF('Biodiversity Assessment'!$BF$102&gt;0,'Biodiversity Assessment'!$BF$102*VLOOKUP('ESVD - Social Value of Bio'!F23&amp;"1",'ESVD - SUMMARY TABLE'!$E$2:$G$294,3,FALSE),0)+IF('Biodiversity Assessment'!$BF$103&gt;0,'Biodiversity Assessment'!$BF$103*VLOOKUP('ESVD - Social Value of Bio'!F23&amp;"2",'ESVD - SUMMARY TABLE'!$E$2:$G$294,3,FALSE),0)+IF('Biodiversity Assessment'!$BF$104&gt;0,'Biodiversity Assessment'!$BF$104*VLOOKUP('ESVD - Social Value of Bio'!F23&amp;"3",'ESVD - SUMMARY TABLE'!$E$2:$G$294,3,FALSE),0)+IF('Biodiversity Assessment'!$BF$105&gt;0,'Biodiversity Assessment'!$BF$105*VLOOKUP('ESVD - Social Value of Bio'!F23&amp;"4",'ESVD - SUMMARY TABLE'!$E$2:$G$294,3,FALSE),0)+IF('Biodiversity Assessment'!$BF$106&gt;0,'Biodiversity Assessment'!$BF$106*VLOOKUP('ESVD - Social Value of Bio'!F23&amp;"5",'ESVD - SUMMARY TABLE'!$E$2:$G$294,3,FALSE),0),0),AVERAGE(IF(SUM('Biodiversity Assessment'!$O$102:$P$105)=SUM('Biodiversity Assessment'!$J$102:$M$105),IF('Biodiversity Assessment'!$O$102&gt;0,'Biodiversity Assessment'!$O$102*VLOOKUP(CONCATENATE($B23,$C23,'ESVD - Land Use &amp; Climate Match'!$A$1)&amp;"1",'ESVD - SUMMARY TABLE'!$E$2:$G$294,3,),0)+IF('Biodiversity Assessment'!$O$103&gt;0,'Biodiversity Assessment'!$O$103*VLOOKUP(CONCATENATE($B23,$C23,'ESVD - Land Use &amp; Climate Match'!$A$1)&amp;"2",'ESVD - SUMMARY TABLE'!$E$2:$G$294,3,),0)+IF('Biodiversity Assessment'!$O$104&gt;0,'Biodiversity Assessment'!$O$104*VLOOKUP(CONCATENATE($B23,$C23,'ESVD - Land Use &amp; Climate Match'!$A$1)&amp;"3",'ESVD - SUMMARY TABLE'!$E$2:$G$294,3,),0)+IF('Biodiversity Assessment'!$O$105&gt;0,'Biodiversity Assessment'!$O$105*VLOOKUP(CONCATENATE($B23,$C23,'ESVD - Land Use &amp; Climate Match'!$A$1)&amp;"4",'ESVD - SUMMARY TABLE'!$E$2:$G$294,3,),0),0),IF(SUM('Biodiversity Assessment'!$AH$102:$AN$105)=SUM('Biodiversity Assessment'!$Z$102:$AF$105),IF('Biodiversity Assessment'!$AH$102&gt;0,'Biodiversity Assessment'!$AH$102*VLOOKUP(CONCATENATE($B23,$C23,'ESVD - Land Use &amp; Climate Match'!$A$11)&amp;"1",'ESVD - SUMMARY TABLE'!$E$2:$G$294,3,FALSE),0)+IF('Biodiversity Assessment'!$AH$103&gt;0,'Biodiversity Assessment'!$AH$103*VLOOKUP(CONCATENATE($B23,$C23,'ESVD - Land Use &amp; Climate Match'!$A$11)&amp;"2",'ESVD - SUMMARY TABLE'!$E$2:$G$294,3,FALSE),0)+IF('Biodiversity Assessment'!$AH$104&gt;0,'Biodiversity Assessment'!$AH$104*VLOOKUP(CONCATENATE($B23,$C23,'ESVD - Land Use &amp; Climate Match'!$A$11)&amp;"3",'ESVD - SUMMARY TABLE'!$E$2:$G$294,3,FALSE),0)+IF('Biodiversity Assessment'!$AH$105&gt;0,'Biodiversity Assessment'!$AH$105*VLOOKUP(CONCATENATE($B23,$C23,'ESVD - Land Use &amp; Climate Match'!$A$11)&amp;"4",'ESVD - SUMMARY TABLE'!$E$2:$G$294,3,FALSE),0),0),IF(SUM('Biodiversity Assessment'!$BF$102:$BF$106)=SUM('Biodiversity Assessment'!$BD$102:$BD$106),IF('Biodiversity Assessment'!$BF$102&gt;0,'Biodiversity Assessment'!$BF$102*VLOOKUP(CONCATENATE($B23,$C23,'ESVD - Land Use &amp; Climate Match'!$A$32)&amp;"1",'ESVD - SUMMARY TABLE'!$E$2:$G$294,3,FALSE),0)+IF('Biodiversity Assessment'!$BF$103&gt;0,'Biodiversity Assessment'!$BF$103*VLOOKUP(CONCATENATE($B23,$C23,'ESVD - Land Use &amp; Climate Match'!$A$32)&amp;"2",'ESVD - SUMMARY TABLE'!$E$2:$G$294,3,FALSE),0)+IF('Biodiversity Assessment'!$BF$104&gt;0,'Biodiversity Assessment'!$BF$104*VLOOKUP(CONCATENATE($B23,$C23,'ESVD - Land Use &amp; Climate Match'!$A$32)&amp;"3",'ESVD - SUMMARY TABLE'!$E$2:$G$294,3,FALSE),0)+IF('Biodiversity Assessment'!$BF$105&gt;0,'Biodiversity Assessment'!$BF$105*VLOOKUP(CONCATENATE($B23,$C23,'ESVD - Land Use &amp; Climate Match'!$A$32)&amp;"4",'ESVD - SUMMARY TABLE'!$E$2:$G$294,3,FALSE),0)+IF('Biodiversity Assessment'!$BF$106&gt;0,'Biodiversity Assessment'!$BF$106*VLOOKUP(CONCATENATE($B23,$C23,'ESVD - Land Use &amp; Climate Match'!$A$32)&amp;"5",'ESVD - SUMMARY TABLE'!$E$2:$G$294,3,FALSE),0),0))))),0)</f>
        <v>0</v>
      </c>
      <c r="I23" s="122">
        <f>'Biodiversity Assessment'!CR38</f>
        <v>0</v>
      </c>
      <c r="J23" s="122">
        <f>IFERROR(IF(I23&gt;0,I23*'Biodiversity Assessment'!$M38,IF(H23&gt;0,H23*'Biodiversity Assessment'!$M38,G23*'Biodiversity Assessment'!$M38)),0)</f>
        <v>0</v>
      </c>
      <c r="K23" s="454"/>
      <c r="L23" s="123">
        <f>IFERROR(IF(E23='ESVD - Land Use &amp; Climate Match'!$A$1,IF('Biodiversity Assessment'!$J$102&gt;0,'Biodiversity Assessment'!$J$102*VLOOKUP('ESVD - Social Value of Bio'!F23&amp;"1",'ESVD - SUMMARY TABLE'!$E$2:$G$294,3,),0)+IF('Biodiversity Assessment'!$J$103&gt;0,'Biodiversity Assessment'!$J$103*VLOOKUP('ESVD - Social Value of Bio'!F23&amp;"2",'ESVD - SUMMARY TABLE'!$E$2:$G$294,3,),0)+IF('Biodiversity Assessment'!$J$104&gt;0,'Biodiversity Assessment'!$J$104*VLOOKUP('ESVD - Social Value of Bio'!F23&amp;"3",'ESVD - SUMMARY TABLE'!$E$2:$G$294,3,),0)+IF('Biodiversity Assessment'!$J$105&gt;0,'Biodiversity Assessment'!$J$105*VLOOKUP('ESVD - Social Value of Bio'!F23&amp;"4",'ESVD - SUMMARY TABLE'!$E$2:$G$294,3,),0),IF(E23='ESVD - Land Use &amp; Climate Match'!$A$11,IF('Biodiversity Assessment'!$Z$102&gt;0,'Biodiversity Assessment'!$Z$102*VLOOKUP('ESVD - Social Value of Bio'!F23&amp;"1",'ESVD - SUMMARY TABLE'!$E$2:$G$294,3,FALSE),0)+IF('Biodiversity Assessment'!$Z$103&gt;0,'Biodiversity Assessment'!$Z$103*VLOOKUP('ESVD - Social Value of Bio'!F23&amp;"2",'ESVD - SUMMARY TABLE'!$E$2:$G$294,3,FALSE),0)+IF('Biodiversity Assessment'!$Z$104&gt;0,'Biodiversity Assessment'!$Z$104*VLOOKUP('ESVD - Social Value of Bio'!F23&amp;"3",'ESVD - SUMMARY TABLE'!$E$2:$G$294,3,FALSE),0)+IF('Biodiversity Assessment'!$Z$105&gt;0,'Biodiversity Assessment'!$Z$105*VLOOKUP('ESVD - Social Value of Bio'!F23&amp;"4",'ESVD - SUMMARY TABLE'!$E$2:$G$294,3,FALSE),0),IF(E23='ESVD - Land Use &amp; Climate Match'!$A$32,IF('Biodiversity Assessment'!$BD$102&gt;0,'Biodiversity Assessment'!$BD$102*VLOOKUP('ESVD - Social Value of Bio'!F23&amp;"1",'ESVD - SUMMARY TABLE'!$E$2:$G$294,3,FALSE),0)+IF('Biodiversity Assessment'!$BD$103&gt;0,'Biodiversity Assessment'!$BD$103*VLOOKUP('ESVD - Social Value of Bio'!F23&amp;"2",'ESVD - SUMMARY TABLE'!$E$2:$G$294,3,FALSE),0)+IF('Biodiversity Assessment'!$BD$104&gt;0,'Biodiversity Assessment'!$BD$104*VLOOKUP('ESVD - Social Value of Bio'!F23&amp;"3",'ESVD - SUMMARY TABLE'!$E$2:$G$294,3,FALSE),0)+IF('Biodiversity Assessment'!$BD$105&gt;0,'Biodiversity Assessment'!$BD$105*VLOOKUP('ESVD - Social Value of Bio'!F23&amp;"4",'ESVD - SUMMARY TABLE'!$E$2:$G$294,3,FALSE),0)+IF('Biodiversity Assessment'!$BD$106&gt;0,'Biodiversity Assessment'!$BD$106*VLOOKUP('ESVD - Social Value of Bio'!F23&amp;"5",'ESVD - SUMMARY TABLE'!$E$2:$G$294,3,FALSE),0),VLOOKUP('ESVD - Social Value of Bio'!F23&amp;"1",'ESVD - SUMMARY TABLE'!$E$2:$G$294,3,FALSE)))),0)</f>
        <v>0</v>
      </c>
      <c r="M23" s="123">
        <f>IFERROR(IF(E23='ESVD - Land Use &amp; Climate Match'!$A$1,IF(SUM('Biodiversity Assessment'!$O$102:$P$105)=SUM('Biodiversity Assessment'!$J$102:$M$105),IF('Biodiversity Assessment'!$O$102&gt;0,'Biodiversity Assessment'!$O$102*VLOOKUP('ESVD - Social Value of Bio'!F23&amp;"1",'ESVD - SUMMARY TABLE'!$E$2:$G$294,3,),0)+IF('Biodiversity Assessment'!$O$103&gt;0,'Biodiversity Assessment'!$O$103*VLOOKUP('ESVD - Social Value of Bio'!F23&amp;"2",'ESVD - SUMMARY TABLE'!$E$2:$G$294,3,),0)+IF('Biodiversity Assessment'!$O$104&gt;0,'Biodiversity Assessment'!$O$104*VLOOKUP('ESVD - Social Value of Bio'!F23&amp;"3",'ESVD - SUMMARY TABLE'!$E$2:$G$294,3,),0)+IF('Biodiversity Assessment'!$O$105&gt;0,'Biodiversity Assessment'!$O$105*VLOOKUP('ESVD - Social Value of Bio'!F23&amp;"4",'ESVD - SUMMARY TABLE'!$E$2:$G$294,3,),0),0),IF(E23='ESVD - Land Use &amp; Climate Match'!$A$11,IF(SUM('Biodiversity Assessment'!$AH$102:$AN$105)=SUM('Biodiversity Assessment'!$Z$102:$AF$105),IF('Biodiversity Assessment'!$AH$102&gt;0,'Biodiversity Assessment'!$AH$102*VLOOKUP('ESVD - Social Value of Bio'!F23&amp;"1",'ESVD - SUMMARY TABLE'!$E$2:$G$294,3,FALSE),0)+IF('Biodiversity Assessment'!$AH$103&gt;0,'Biodiversity Assessment'!$AH$103*VLOOKUP('ESVD - Social Value of Bio'!F23&amp;"2",'ESVD - SUMMARY TABLE'!$E$2:$G$294,3,FALSE),0)+IF('Biodiversity Assessment'!$AH$104&gt;0,'Biodiversity Assessment'!$AH$104*VLOOKUP('ESVD - Social Value of Bio'!F23&amp;"3",'ESVD - SUMMARY TABLE'!$E$2:$G$294,3,FALSE),0)+IF('Biodiversity Assessment'!$AH$105&gt;0,'Biodiversity Assessment'!$AH$105*VLOOKUP('ESVD - Social Value of Bio'!F23&amp;"4",'ESVD - SUMMARY TABLE'!$E$2:$G$294,3,FALSE),0),0),IF(E23='ESVD - Land Use &amp; Climate Match'!$A$32,IF(SUM('Biodiversity Assessment'!$BF$102:$BF$106)=SUM('Biodiversity Assessment'!$BD$102:$BD$106),IF('Biodiversity Assessment'!$BF$102&gt;0,'Biodiversity Assessment'!$BF$102*VLOOKUP('ESVD - Social Value of Bio'!F23&amp;"1",'ESVD - SUMMARY TABLE'!$E$2:$G$294,3,FALSE),0)+IF('Biodiversity Assessment'!$BF$103&gt;0,'Biodiversity Assessment'!$BF$103*VLOOKUP('ESVD - Social Value of Bio'!F23&amp;"2",'ESVD - SUMMARY TABLE'!$E$2:$G$294,3,FALSE),0)+IF('Biodiversity Assessment'!$BF$104&gt;0,'Biodiversity Assessment'!$BF$104*VLOOKUP('ESVD - Social Value of Bio'!F23&amp;"3",'ESVD - SUMMARY TABLE'!$E$2:$G$294,3,FALSE),0)+IF('Biodiversity Assessment'!$BF$105&gt;0,'Biodiversity Assessment'!$BF$105*VLOOKUP('ESVD - Social Value of Bio'!F23&amp;"4",'ESVD - SUMMARY TABLE'!$E$2:$G$294,3,FALSE),0)+IF('Biodiversity Assessment'!$BF$106&gt;0,'Biodiversity Assessment'!$BF$106*VLOOKUP('ESVD - Social Value of Bio'!F23&amp;"5",'ESVD - SUMMARY TABLE'!$E$2:$G$294,3,FALSE),0),0),VLOOKUP('ESVD - Social Value of Bio'!F23&amp;"1",'ESVD - SUMMARY TABLE'!$E$2:$G$294,3,FALSE)))),0)</f>
        <v>0</v>
      </c>
      <c r="N23" s="123">
        <f>'Biodiversity Assessment'!CR38</f>
        <v>0</v>
      </c>
      <c r="O23" s="124">
        <f>IFERROR(IF(N23&gt;0,N23*'Biodiversity Assessment'!M38,IF(M23&gt;0,M23*'Biodiversity Assessment'!M38,L23*'Biodiversity Assessment'!M38)),0)</f>
        <v>0</v>
      </c>
      <c r="P23" s="456"/>
      <c r="R23" s="108" t="str">
        <f>'Biodiversity Assessment'!O38</f>
        <v>Select land use</v>
      </c>
      <c r="S23" s="109" t="str">
        <f>IF(OR(R23=Data!$E$4,R23=Data!$E$5,R23=Data!$E$6,R23=Data!$E$7),Data!$E$4,IF(OR(R23=Data!$E$9,R23=Data!$E$10,R23=Data!$E$11),Data!$E$9,IF(OR(R23=Data!$E$12,R23=Data!$E$13,R23=Data!$E$14),"Cropland",IF(OR(R23=Data!$E$16,R23=Data!$E$17),"Agroforestry",R23))))</f>
        <v>Select land use</v>
      </c>
      <c r="T23" s="109" t="str">
        <f t="shared" si="1"/>
        <v>Please selectPlease selectSelect land use</v>
      </c>
      <c r="U23" s="122">
        <f>IFERROR(IF(S23='ESVD - Land Use &amp; Climate Match'!$A$1,IF('Biodiversity Assessment'!$J$102&gt;0,'Biodiversity Assessment'!$J$102*VLOOKUP('ESVD - Social Value of Bio'!T23&amp;"1",'ESVD - SUMMARY TABLE'!$E$2:$G$294,3,),0)+IF('Biodiversity Assessment'!$J$103&gt;0,'Biodiversity Assessment'!$J$103*VLOOKUP('ESVD - Social Value of Bio'!T23&amp;"2",'ESVD - SUMMARY TABLE'!$E$2:$G$294,3,),0)+IF('Biodiversity Assessment'!$J$104&gt;0,'Biodiversity Assessment'!$J$104*VLOOKUP('ESVD - Social Value of Bio'!T23&amp;"3",'ESVD - SUMMARY TABLE'!$E$2:$G$294,3,),0)+IF('Biodiversity Assessment'!$J$105&gt;0,'Biodiversity Assessment'!$J$105*VLOOKUP('ESVD - Social Value of Bio'!T23&amp;"4",'ESVD - SUMMARY TABLE'!$E$2:$G$294,3,),0),IF(S23='ESVD - Land Use &amp; Climate Match'!$A$11,IF('Biodiversity Assessment'!$Z$102&gt;0,'Biodiversity Assessment'!$Z$102*VLOOKUP('ESVD - Social Value of Bio'!T23&amp;"1",'ESVD - SUMMARY TABLE'!$E$2:$G$294,3,FALSE),0)+IF('Biodiversity Assessment'!$Z$103&gt;0,'Biodiversity Assessment'!$Z$103*VLOOKUP('ESVD - Social Value of Bio'!T23&amp;"2",'ESVD - SUMMARY TABLE'!$E$2:$G$294,3,FALSE),0)+IF('Biodiversity Assessment'!$Z$104&gt;0,'Biodiversity Assessment'!$Z$104*VLOOKUP('ESVD - Social Value of Bio'!T23&amp;"3",'ESVD - SUMMARY TABLE'!$E$2:$G$294,3,FALSE),0)+IF('Biodiversity Assessment'!$Z$105&gt;0,'Biodiversity Assessment'!$Z$105*VLOOKUP('ESVD - Social Value of Bio'!T23&amp;"4",'ESVD - SUMMARY TABLE'!$E$2:$G$294,3,FALSE),0),IF(S23='ESVD - Land Use &amp; Climate Match'!$A$32,IF('Biodiversity Assessment'!$BD$102&gt;0,'Biodiversity Assessment'!$BD$102*VLOOKUP('ESVD - Social Value of Bio'!T23&amp;"1",'ESVD - SUMMARY TABLE'!$E$2:$G$294,3,FALSE),0)+IF('Biodiversity Assessment'!$BD$103&gt;0,'Biodiversity Assessment'!$BD$103*VLOOKUP('ESVD - Social Value of Bio'!T23&amp;"2",'ESVD - SUMMARY TABLE'!$E$2:$G$294,3,FALSE),0)+IF('Biodiversity Assessment'!$BD$104&gt;0,'Biodiversity Assessment'!$BD$104*VLOOKUP('ESVD - Social Value of Bio'!T23&amp;"3",'ESVD - SUMMARY TABLE'!$E$2:$G$294,3,FALSE),0)+IF('Biodiversity Assessment'!$BD$105&gt;0,'Biodiversity Assessment'!$BD$105*VLOOKUP('ESVD - Social Value of Bio'!T23&amp;"4",'ESVD - SUMMARY TABLE'!$E$2:$G$294,3,FALSE),0)+IF('Biodiversity Assessment'!$BD$106&gt;0,'Biodiversity Assessment'!$BD$106*VLOOKUP('ESVD - Social Value of Bio'!T23&amp;"5",'ESVD - SUMMARY TABLE'!$E$2:$G$294,3,FALSE),0),AVERAGE(IF('Biodiversity Assessment'!$J$102&gt;0,'Biodiversity Assessment'!$J$102*VLOOKUP(CONCATENATE(B23,C23,'ESVD - Land Use &amp; Climate Match'!$A$1)&amp;"1",'ESVD - SUMMARY TABLE'!$E$2:$G$294,3,),0)+IF('Biodiversity Assessment'!$J$103&gt;0,'Biodiversity Assessment'!$J$103*VLOOKUP(CONCATENATE(B23,C23,'ESVD - Land Use &amp; Climate Match'!$A$1)&amp;"2",'ESVD - SUMMARY TABLE'!$E$2:$G$294,3,),0)+IF('Biodiversity Assessment'!$J$104&gt;0,'Biodiversity Assessment'!$J$104*VLOOKUP(CONCATENATE(B23,C23,'ESVD - Land Use &amp; Climate Match'!$A$1)&amp;"3",'ESVD - SUMMARY TABLE'!$E$2:$G$294,3,),0)+IF('Biodiversity Assessment'!$J$105&gt;0,'Biodiversity Assessment'!$J$105*VLOOKUP(CONCATENATE(B23,C23,'ESVD - Land Use &amp; Climate Match'!$A$1)&amp;"4",'ESVD - SUMMARY TABLE'!$E$2:$G$294,3,),0),IF('Biodiversity Assessment'!$Z$102&gt;0,'Biodiversity Assessment'!$Z$102*VLOOKUP(CONCATENATE(B23,C23,'ESVD - Land Use &amp; Climate Match'!$A$11)&amp;"1",'ESVD - SUMMARY TABLE'!$E$2:$G$294,3,FALSE),0)+IF('Biodiversity Assessment'!$Z$103&gt;0,'Biodiversity Assessment'!$Z$103*VLOOKUP(CONCATENATE(B23,C23,'ESVD - Land Use &amp; Climate Match'!$A$11)&amp;"2",'ESVD - SUMMARY TABLE'!$E$2:$G$294,3,FALSE),0)+IF('Biodiversity Assessment'!$Z$104&gt;0,'Biodiversity Assessment'!$Z$104*VLOOKUP(CONCATENATE(B23,C23,'ESVD - Land Use &amp; Climate Match'!$A$11)&amp;"3",'ESVD - SUMMARY TABLE'!$E$2:$G$294,3,FALSE),0)+IF('Biodiversity Assessment'!$Z$105&gt;0,'Biodiversity Assessment'!$Z$105*VLOOKUP(CONCATENATE(B23,C23,'ESVD - Land Use &amp; Climate Match'!$A$11)&amp;"4",'ESVD - SUMMARY TABLE'!$E$2:$G$294,3,FALSE),0),IF('Biodiversity Assessment'!$BD$102&gt;0,'Biodiversity Assessment'!$BD$102*VLOOKUP(CONCATENATE(B23,C23,'ESVD - Land Use &amp; Climate Match'!$A$32)&amp;"1",'ESVD - SUMMARY TABLE'!$E$2:$G$294,3,FALSE),0)+IF('Biodiversity Assessment'!$BD$103&gt;0,'Biodiversity Assessment'!$BD$103*VLOOKUP(CONCATENATE(B23,C23,'ESVD - Land Use &amp; Climate Match'!$A$32)&amp;"2",'ESVD - SUMMARY TABLE'!$E$2:$G$294,3,FALSE),0)+IF('Biodiversity Assessment'!$BD$104&gt;0,'Biodiversity Assessment'!$BD$104*VLOOKUP(CONCATENATE(B23,C23,'ESVD - Land Use &amp; Climate Match'!$A$32)&amp;"3",'ESVD - SUMMARY TABLE'!$E$2:$G$294,3,FALSE),0)+IF('Biodiversity Assessment'!$BD$105&gt;0,'Biodiversity Assessment'!$BD$105*VLOOKUP(CONCATENATE(B23,C23,'ESVD - Land Use &amp; Climate Match'!$A$32)&amp;"4",'ESVD - SUMMARY TABLE'!$E$2:$G$294,3,FALSE),0)+IF('Biodiversity Assessment'!$BD$106&gt;0,'Biodiversity Assessment'!$BD$106*VLOOKUP(CONCATENATE(B23,C23,'ESVD - Land Use &amp; Climate Match'!$A$32)&amp;"5",'ESVD - SUMMARY TABLE'!$E$2:$G$294,3,FALSE)))))),0)</f>
        <v>0</v>
      </c>
      <c r="V23" s="122">
        <f>IFERROR(IF(S23='ESVD - Land Use &amp; Climate Match'!$A$1,IF(SUM('Biodiversity Assessment'!$O$102:$P$105)=SUM('Biodiversity Assessment'!$J$102:$M$105),IF('Biodiversity Assessment'!$O$102&gt;0,'Biodiversity Assessment'!$O$102*VLOOKUP('ESVD - Social Value of Bio'!T23&amp;"1",'ESVD - SUMMARY TABLE'!$E$2:$G$294,3,),0)+IF('Biodiversity Assessment'!$O$103&gt;0,'Biodiversity Assessment'!$O$103*VLOOKUP('ESVD - Social Value of Bio'!T23&amp;"2",'ESVD - SUMMARY TABLE'!$E$2:$G$294,3,),0)+IF('Biodiversity Assessment'!$O$104&gt;0,'Biodiversity Assessment'!$O$104*VLOOKUP('ESVD - Social Value of Bio'!T23&amp;"3",'ESVD - SUMMARY TABLE'!$E$2:$G$294,3,),0)+IF('Biodiversity Assessment'!$O$105&gt;0,'Biodiversity Assessment'!$O$105*VLOOKUP('ESVD - Social Value of Bio'!T23&amp;"4",'ESVD - SUMMARY TABLE'!$E$2:$G$294,3,),0),0),IF(S23='ESVD - Land Use &amp; Climate Match'!$A$11,IF(SUM('Biodiversity Assessment'!$AH$102:$AN$105)=SUM('Biodiversity Assessment'!$Z$102:$AF$105),IF('Biodiversity Assessment'!$AH$102&gt;0,'Biodiversity Assessment'!$AH$102*VLOOKUP('ESVD - Social Value of Bio'!T23&amp;"1",'ESVD - SUMMARY TABLE'!$E$2:$G$294,3,FALSE),0)+IF('Biodiversity Assessment'!$AH$103&gt;0,'Biodiversity Assessment'!$AH$103*VLOOKUP('ESVD - Social Value of Bio'!T23&amp;"2",'ESVD - SUMMARY TABLE'!$E$2:$G$294,3,FALSE),0)+IF('Biodiversity Assessment'!$AH$104&gt;0,'Biodiversity Assessment'!$AH$104*VLOOKUP('ESVD - Social Value of Bio'!T23&amp;"3",'ESVD - SUMMARY TABLE'!$E$2:$G$294,3,FALSE),0)+IF('Biodiversity Assessment'!$AH$105&gt;0,'Biodiversity Assessment'!$AH$105*VLOOKUP('ESVD - Social Value of Bio'!T23&amp;"4",'ESVD - SUMMARY TABLE'!$E$2:$G$294,3,FALSE),0),0),IF(S23='ESVD - Land Use &amp; Climate Match'!$A$32,IF(SUM('Biodiversity Assessment'!$BF$102:$BF$106)=SUM('Biodiversity Assessment'!$BD$102:$BD$106),IF('Biodiversity Assessment'!$BF$102&gt;0,'Biodiversity Assessment'!$BF$102*VLOOKUP('ESVD - Social Value of Bio'!T23&amp;"1",'ESVD - SUMMARY TABLE'!$E$2:$G$294,3,FALSE),0)+IF('Biodiversity Assessment'!$BF$103&gt;0,'Biodiversity Assessment'!$BF$103*VLOOKUP('ESVD - Social Value of Bio'!T23&amp;"2",'ESVD - SUMMARY TABLE'!$E$2:$G$294,3,FALSE),0)+IF('Biodiversity Assessment'!$BF$104&gt;0,'Biodiversity Assessment'!$BF$104*VLOOKUP('ESVD - Social Value of Bio'!T23&amp;"3",'ESVD - SUMMARY TABLE'!$E$2:$G$294,3,FALSE),0)+IF('Biodiversity Assessment'!$BF$105&gt;0,'Biodiversity Assessment'!$BF$105*VLOOKUP('ESVD - Social Value of Bio'!T23&amp;"4",'ESVD - SUMMARY TABLE'!$E$2:$G$294,3,FALSE),0)+IF('Biodiversity Assessment'!$BF$106&gt;0,'Biodiversity Assessment'!$BF$106*VLOOKUP('ESVD - Social Value of Bio'!T23&amp;"5",'ESVD - SUMMARY TABLE'!$E$2:$G$294,3,FALSE),0),0),AVERAGE(IF(SUM('Biodiversity Assessment'!$O$102:$P$105)=SUM('Biodiversity Assessment'!$J$102:$M$105),IF('Biodiversity Assessment'!$O$102&gt;0,'Biodiversity Assessment'!$O$102*VLOOKUP(CONCATENATE($B23,$C23,'ESVD - Land Use &amp; Climate Match'!$A$1)&amp;"1",'ESVD - SUMMARY TABLE'!$E$2:$G$294,3,),0)+IF('Biodiversity Assessment'!$O$103&gt;0,'Biodiversity Assessment'!$O$103*VLOOKUP(CONCATENATE($B23,$C23,'ESVD - Land Use &amp; Climate Match'!$A$1)&amp;"2",'ESVD - SUMMARY TABLE'!$E$2:$G$294,3,),0)+IF('Biodiversity Assessment'!$O$104&gt;0,'Biodiversity Assessment'!$O$104*VLOOKUP(CONCATENATE($B23,$C23,'ESVD - Land Use &amp; Climate Match'!$A$1)&amp;"3",'ESVD - SUMMARY TABLE'!$E$2:$G$294,3,),0)+IF('Biodiversity Assessment'!$O$105&gt;0,'Biodiversity Assessment'!$O$105*VLOOKUP(CONCATENATE($B23,$C23,'ESVD - Land Use &amp; Climate Match'!$A$1)&amp;"4",'ESVD - SUMMARY TABLE'!$E$2:$G$294,3,),0),0),IF(SUM('Biodiversity Assessment'!$AH$102:$AN$105)=SUM('Biodiversity Assessment'!$Z$102:$AF$105),IF('Biodiversity Assessment'!$AH$102&gt;0,'Biodiversity Assessment'!$AH$102*VLOOKUP(CONCATENATE($B23,$C23,'ESVD - Land Use &amp; Climate Match'!$A$11)&amp;"1",'ESVD - SUMMARY TABLE'!$E$2:$G$294,3,FALSE),0)+IF('Biodiversity Assessment'!$AH$103&gt;0,'Biodiversity Assessment'!$AH$103*VLOOKUP(CONCATENATE($B23,$C23,'ESVD - Land Use &amp; Climate Match'!$A$11)&amp;"2",'ESVD - SUMMARY TABLE'!$E$2:$G$294,3,FALSE),0)+IF('Biodiversity Assessment'!$AH$104&gt;0,'Biodiversity Assessment'!$AH$104*VLOOKUP(CONCATENATE($B23,$C23,'ESVD - Land Use &amp; Climate Match'!$A$11)&amp;"3",'ESVD - SUMMARY TABLE'!$E$2:$G$294,3,FALSE),0)+IF('Biodiversity Assessment'!$AH$105&gt;0,'Biodiversity Assessment'!$AH$105*VLOOKUP(CONCATENATE($B23,$C23,'ESVD - Land Use &amp; Climate Match'!$A$11)&amp;"4",'ESVD - SUMMARY TABLE'!$E$2:$G$294,3,FALSE),0),0),IF(SUM('Biodiversity Assessment'!$BF$102:$BF$106)=SUM('Biodiversity Assessment'!$BD$102:$BD$106),IF('Biodiversity Assessment'!$BF$102&gt;0,'Biodiversity Assessment'!$BF$102*VLOOKUP(CONCATENATE($B23,$C23,'ESVD - Land Use &amp; Climate Match'!$A$32)&amp;"1",'ESVD - SUMMARY TABLE'!$E$2:$G$294,3,FALSE),0)+IF('Biodiversity Assessment'!$BF$103&gt;0,'Biodiversity Assessment'!$BF$103*VLOOKUP(CONCATENATE($B23,$C23,'ESVD - Land Use &amp; Climate Match'!$A$32)&amp;"2",'ESVD - SUMMARY TABLE'!$E$2:$G$294,3,FALSE),0)+IF('Biodiversity Assessment'!$BF$104&gt;0,'Biodiversity Assessment'!$BF$104*VLOOKUP(CONCATENATE($B23,$C23,'ESVD - Land Use &amp; Climate Match'!$A$32)&amp;"3",'ESVD - SUMMARY TABLE'!$E$2:$G$294,3,FALSE),0)+IF('Biodiversity Assessment'!$BF$105&gt;0,'Biodiversity Assessment'!$BF$105*VLOOKUP(CONCATENATE($B23,$C23,'ESVD - Land Use &amp; Climate Match'!$A$32)&amp;"4",'ESVD - SUMMARY TABLE'!$E$2:$G$294,3,FALSE),0)+IF('Biodiversity Assessment'!$BF$106&gt;0,'Biodiversity Assessment'!$BF$106*VLOOKUP(CONCATENATE($B23,$C23,'ESVD - Land Use &amp; Climate Match'!$A$32)&amp;"5",'ESVD - SUMMARY TABLE'!$E$2:$G$294,3,FALSE),0),0))))),0)</f>
        <v>0</v>
      </c>
      <c r="W23" s="122">
        <f>'Biodiversity Assessment'!CX38</f>
        <v>0</v>
      </c>
      <c r="X23" s="122">
        <f>IFERROR(IF(W23&gt;0,W23*'Biodiversity Assessment'!$U38,IF(V23&gt;0,V23*'Biodiversity Assessment'!$U38,U23*'Biodiversity Assessment'!$U38)),0)</f>
        <v>0</v>
      </c>
      <c r="Y23" s="454"/>
      <c r="Z23" s="123">
        <f>IFERROR(IF(S23='ESVD - Land Use &amp; Climate Match'!$A$1,IF('Biodiversity Assessment'!$J$102&gt;0,'Biodiversity Assessment'!$J$102*VLOOKUP('ESVD - Social Value of Bio'!T23&amp;"1",'ESVD - SUMMARY TABLE'!$E$2:$G$294,3,),0)+IF('Biodiversity Assessment'!$J$103&gt;0,'Biodiversity Assessment'!$J$103*VLOOKUP('ESVD - Social Value of Bio'!T23&amp;"2",'ESVD - SUMMARY TABLE'!$E$2:$G$294,3,),0)+IF('Biodiversity Assessment'!$J$104&gt;0,'Biodiversity Assessment'!$J$104*VLOOKUP('ESVD - Social Value of Bio'!T23&amp;"3",'ESVD - SUMMARY TABLE'!$E$2:$G$294,3,),0)+IF('Biodiversity Assessment'!$J$105&gt;0,'Biodiversity Assessment'!$J$105*VLOOKUP('ESVD - Social Value of Bio'!T23&amp;"4",'ESVD - SUMMARY TABLE'!$E$2:$G$294,3,),0),IF(S23='ESVD - Land Use &amp; Climate Match'!$A$11,IF('Biodiversity Assessment'!$Z$102&gt;0,'Biodiversity Assessment'!$Z$102*VLOOKUP('ESVD - Social Value of Bio'!T23&amp;"1",'ESVD - SUMMARY TABLE'!$E$2:$G$294,3,FALSE),0)+IF('Biodiversity Assessment'!$Z$103&gt;0,'Biodiversity Assessment'!$Z$103*VLOOKUP('ESVD - Social Value of Bio'!T23&amp;"2",'ESVD - SUMMARY TABLE'!$E$2:$G$294,3,FALSE),0)+IF('Biodiversity Assessment'!$Z$104&gt;0,'Biodiversity Assessment'!$Z$104*VLOOKUP('ESVD - Social Value of Bio'!T23&amp;"3",'ESVD - SUMMARY TABLE'!$E$2:$G$294,3,FALSE),0)+IF('Biodiversity Assessment'!$Z$105&gt;0,'Biodiversity Assessment'!$Z$105*VLOOKUP('ESVD - Social Value of Bio'!T23&amp;"4",'ESVD - SUMMARY TABLE'!$E$2:$G$294,3,FALSE),0),IF(S23='ESVD - Land Use &amp; Climate Match'!$A$32,IF('Biodiversity Assessment'!$BD$102&gt;0,'Biodiversity Assessment'!$BD$102*VLOOKUP('ESVD - Social Value of Bio'!T23&amp;"1",'ESVD - SUMMARY TABLE'!$E$2:$G$294,3,FALSE),0)+IF('Biodiversity Assessment'!$BD$103&gt;0,'Biodiversity Assessment'!$BD$103*VLOOKUP('ESVD - Social Value of Bio'!T23&amp;"2",'ESVD - SUMMARY TABLE'!$E$2:$G$294,3,FALSE),0)+IF('Biodiversity Assessment'!$BD$104&gt;0,'Biodiversity Assessment'!$BD$104*VLOOKUP('ESVD - Social Value of Bio'!T23&amp;"3",'ESVD - SUMMARY TABLE'!$E$2:$G$294,3,FALSE),0)+IF('Biodiversity Assessment'!$BD$105&gt;0,'Biodiversity Assessment'!$BD$105*VLOOKUP('ESVD - Social Value of Bio'!T23&amp;"4",'ESVD - SUMMARY TABLE'!$E$2:$G$294,3,FALSE),0)+IF('Biodiversity Assessment'!$BD$106&gt;0,'Biodiversity Assessment'!$BD$106*VLOOKUP('ESVD - Social Value of Bio'!T23&amp;"5",'ESVD - SUMMARY TABLE'!$E$2:$G$294,3,FALSE),0),VLOOKUP('ESVD - Social Value of Bio'!T23&amp;"1",'ESVD - SUMMARY TABLE'!$E$2:$G$294,3,FALSE)))),0)</f>
        <v>0</v>
      </c>
      <c r="AA23" s="123">
        <f>IFERROR(IF(S23='ESVD - Land Use &amp; Climate Match'!$A$1,IF(SUM('Biodiversity Assessment'!$O$102:$P$105)=SUM('Biodiversity Assessment'!$J$102:$M$105),IF('Biodiversity Assessment'!$O$102&gt;0,'Biodiversity Assessment'!$O$102*VLOOKUP('ESVD - Social Value of Bio'!T23&amp;"1",'ESVD - SUMMARY TABLE'!$E$2:$G$294,3,),0)+IF('Biodiversity Assessment'!$O$103&gt;0,'Biodiversity Assessment'!$O$103*VLOOKUP('ESVD - Social Value of Bio'!T23&amp;"2",'ESVD - SUMMARY TABLE'!$E$2:$G$294,3,),0)+IF('Biodiversity Assessment'!$O$104&gt;0,'Biodiversity Assessment'!$O$104*VLOOKUP('ESVD - Social Value of Bio'!T23&amp;"3",'ESVD - SUMMARY TABLE'!$E$2:$G$294,3,),0)+IF('Biodiversity Assessment'!$O$105&gt;0,'Biodiversity Assessment'!$O$105*VLOOKUP('ESVD - Social Value of Bio'!T23&amp;"4",'ESVD - SUMMARY TABLE'!$E$2:$G$294,3,),0),0),IF(S23='ESVD - Land Use &amp; Climate Match'!$A$11,IF(SUM('Biodiversity Assessment'!$AH$102:$AN$105)=SUM('Biodiversity Assessment'!$Z$102:$AF$105),IF('Biodiversity Assessment'!$AH$102&gt;0,'Biodiversity Assessment'!$AH$102*VLOOKUP('ESVD - Social Value of Bio'!T23&amp;"1",'ESVD - SUMMARY TABLE'!$E$2:$G$294,3,FALSE),0)+IF('Biodiversity Assessment'!$AH$103&gt;0,'Biodiversity Assessment'!$AH$103*VLOOKUP('ESVD - Social Value of Bio'!T23&amp;"2",'ESVD - SUMMARY TABLE'!$E$2:$G$294,3,FALSE),0)+IF('Biodiversity Assessment'!$AH$104&gt;0,'Biodiversity Assessment'!$AH$104*VLOOKUP('ESVD - Social Value of Bio'!T23&amp;"3",'ESVD - SUMMARY TABLE'!$E$2:$G$294,3,FALSE),0)+IF('Biodiversity Assessment'!$AH$105&gt;0,'Biodiversity Assessment'!$AH$105*VLOOKUP('ESVD - Social Value of Bio'!T23&amp;"4",'ESVD - SUMMARY TABLE'!$E$2:$G$294,3,FALSE),0),0),IF(S23='ESVD - Land Use &amp; Climate Match'!$A$32,IF(SUM('Biodiversity Assessment'!$BF$102:$BF$106)=SUM('Biodiversity Assessment'!$BD$102:$BD$106),IF('Biodiversity Assessment'!$BF$102&gt;0,'Biodiversity Assessment'!$BF$102*VLOOKUP('ESVD - Social Value of Bio'!T23&amp;"1",'ESVD - SUMMARY TABLE'!$E$2:$G$294,3,FALSE),0)+IF('Biodiversity Assessment'!$BF$103&gt;0,'Biodiversity Assessment'!$BF$103*VLOOKUP('ESVD - Social Value of Bio'!T23&amp;"2",'ESVD - SUMMARY TABLE'!$E$2:$G$294,3,FALSE),0)+IF('Biodiversity Assessment'!$BF$104&gt;0,'Biodiversity Assessment'!$BF$104*VLOOKUP('ESVD - Social Value of Bio'!T23&amp;"3",'ESVD - SUMMARY TABLE'!$E$2:$G$294,3,FALSE),0)+IF('Biodiversity Assessment'!$BF$105&gt;0,'Biodiversity Assessment'!$BF$105*VLOOKUP('ESVD - Social Value of Bio'!T23&amp;"4",'ESVD - SUMMARY TABLE'!$E$2:$G$294,3,FALSE),0)+IF('Biodiversity Assessment'!$BF$106&gt;0,'Biodiversity Assessment'!$BF$106*VLOOKUP('ESVD - Social Value of Bio'!T23&amp;"5",'ESVD - SUMMARY TABLE'!$E$2:$G$294,3,FALSE),0),0),VLOOKUP('ESVD - Social Value of Bio'!T23&amp;"1",'ESVD - SUMMARY TABLE'!$E$2:$G$294,3,FALSE)))),0)</f>
        <v>0</v>
      </c>
      <c r="AB23" s="123">
        <f>'Biodiversity Assessment'!CX38</f>
        <v>0</v>
      </c>
      <c r="AC23" s="124">
        <f>IFERROR(IF(AB23&gt;0,AB23*'Biodiversity Assessment'!U38,IF(AA23&gt;0,AA23*'Biodiversity Assessment'!U38,Z23*'Biodiversity Assessment'!U38)),0)</f>
        <v>0</v>
      </c>
      <c r="AD23" s="456"/>
      <c r="AG23" s="453"/>
    </row>
    <row r="24" spans="1:33" s="110" customFormat="1" ht="10.5" x14ac:dyDescent="0.25">
      <c r="A24" s="107" t="s">
        <v>399</v>
      </c>
      <c r="B24" s="108" t="str">
        <f>IF(Start!$D$28&gt;1000,CONCATENATE(Start!$D$20," Mountain"),Start!$D$20)</f>
        <v>Please select</v>
      </c>
      <c r="C24" s="108" t="str">
        <f>Start!$D$24</f>
        <v>Please select</v>
      </c>
      <c r="D24" s="109" t="str">
        <f>'Biodiversity Assessment'!G39</f>
        <v>Select land use</v>
      </c>
      <c r="E24" s="109" t="str">
        <f>IF(OR(D24=Data!$E$4,D24=Data!$E$5,D24=Data!$E$6,D24=Data!$E$7),Data!$E$4,IF(OR(D24=Data!$E$9,D24=Data!$E$10,D24=Data!$E$11),Data!$E$9,IF(OR(D24=Data!$E$12,D24=Data!$E$13,D24=Data!$E$14),"Cropland",IF(OR(D24=Data!$E$16,D24=Data!$E$17),"Agroforestry",D24))))</f>
        <v>Select land use</v>
      </c>
      <c r="F24" s="109" t="str">
        <f t="shared" si="0"/>
        <v>Please selectPlease selectSelect land use</v>
      </c>
      <c r="G24" s="122">
        <f>IFERROR(IF(E24='ESVD - Land Use &amp; Climate Match'!$A$1,IF('Biodiversity Assessment'!$J$102&gt;0,'Biodiversity Assessment'!$J$102*VLOOKUP('ESVD - Social Value of Bio'!F24&amp;"1",'ESVD - SUMMARY TABLE'!$E$2:$G$294,3,),0)+IF('Biodiversity Assessment'!$J$103&gt;0,'Biodiversity Assessment'!$J$103*VLOOKUP('ESVD - Social Value of Bio'!F24&amp;"2",'ESVD - SUMMARY TABLE'!$E$2:$G$294,3,),0)+IF('Biodiversity Assessment'!$J$104&gt;0,'Biodiversity Assessment'!$J$104*VLOOKUP('ESVD - Social Value of Bio'!F24&amp;"3",'ESVD - SUMMARY TABLE'!$E$2:$G$294,3,),0)+IF('Biodiversity Assessment'!$J$105&gt;0,'Biodiversity Assessment'!$J$105*VLOOKUP('ESVD - Social Value of Bio'!F24&amp;"4",'ESVD - SUMMARY TABLE'!$E$2:$G$294,3,),0),IF(E24='ESVD - Land Use &amp; Climate Match'!$A$11,IF('Biodiversity Assessment'!$Z$102&gt;0,'Biodiversity Assessment'!$Z$102*VLOOKUP('ESVD - Social Value of Bio'!F24&amp;"1",'ESVD - SUMMARY TABLE'!$E$2:$G$294,3,FALSE),0)+IF('Biodiversity Assessment'!$Z$103&gt;0,'Biodiversity Assessment'!$Z$103*VLOOKUP('ESVD - Social Value of Bio'!F24&amp;"2",'ESVD - SUMMARY TABLE'!$E$2:$G$294,3,FALSE),0)+IF('Biodiversity Assessment'!$Z$104&gt;0,'Biodiversity Assessment'!$Z$104*VLOOKUP('ESVD - Social Value of Bio'!F24&amp;"3",'ESVD - SUMMARY TABLE'!$E$2:$G$294,3,FALSE),0)+IF('Biodiversity Assessment'!$Z$105&gt;0,'Biodiversity Assessment'!$Z$105*VLOOKUP('ESVD - Social Value of Bio'!F24&amp;"4",'ESVD - SUMMARY TABLE'!$E$2:$G$294,3,FALSE),0),IF(E24='ESVD - Land Use &amp; Climate Match'!$A$32,IF('Biodiversity Assessment'!$BD$102&gt;0,'Biodiversity Assessment'!$BD$102*VLOOKUP('ESVD - Social Value of Bio'!F24&amp;"1",'ESVD - SUMMARY TABLE'!$E$2:$G$294,3,FALSE),0)+IF('Biodiversity Assessment'!$BD$103&gt;0,'Biodiversity Assessment'!$BD$103*VLOOKUP('ESVD - Social Value of Bio'!F24&amp;"2",'ESVD - SUMMARY TABLE'!$E$2:$G$294,3,FALSE),0)+IF('Biodiversity Assessment'!$BD$104&gt;0,'Biodiversity Assessment'!$BD$104*VLOOKUP('ESVD - Social Value of Bio'!F24&amp;"3",'ESVD - SUMMARY TABLE'!$E$2:$G$294,3,FALSE),0)+IF('Biodiversity Assessment'!$BD$105&gt;0,'Biodiversity Assessment'!$BD$105*VLOOKUP('ESVD - Social Value of Bio'!F24&amp;"4",'ESVD - SUMMARY TABLE'!$E$2:$G$294,3,FALSE),0)+IF('Biodiversity Assessment'!$BD$106&gt;0,'Biodiversity Assessment'!$BD$106*VLOOKUP('ESVD - Social Value of Bio'!F24&amp;"5",'ESVD - SUMMARY TABLE'!$E$2:$G$294,3,FALSE),0),AVERAGE(IF('Biodiversity Assessment'!$J$102&gt;0,'Biodiversity Assessment'!$J$102*VLOOKUP(CONCATENATE($B24,$C24,'ESVD - Land Use &amp; Climate Match'!$A$1)&amp;"1",'ESVD - SUMMARY TABLE'!$E$2:$G$294,3,),0)+IF('Biodiversity Assessment'!$J$103&gt;0,'Biodiversity Assessment'!$J$103*VLOOKUP(CONCATENATE($B24,$C24,'ESVD - Land Use &amp; Climate Match'!$A$1)&amp;"2",'ESVD - SUMMARY TABLE'!$E$2:$G$294,3,),0)+IF('Biodiversity Assessment'!$J$104&gt;0,'Biodiversity Assessment'!$J$104*VLOOKUP(CONCATENATE($B24,$C24,'ESVD - Land Use &amp; Climate Match'!$A$1)&amp;"3",'ESVD - SUMMARY TABLE'!$E$2:$G$294,3,),0)+IF('Biodiversity Assessment'!$J$105&gt;0,'Biodiversity Assessment'!$J$105*VLOOKUP(CONCATENATE($B24,$C24,'ESVD - Land Use &amp; Climate Match'!$A$1)&amp;"4",'ESVD - SUMMARY TABLE'!$E$2:$G$294,3,),0),IF('Biodiversity Assessment'!$Z$102&gt;0,'Biodiversity Assessment'!$Z$102*VLOOKUP(CONCATENATE($B24,$C24,'ESVD - Land Use &amp; Climate Match'!$A$11)&amp;"1",'ESVD - SUMMARY TABLE'!$E$2:$G$294,3,FALSE),0)+IF('Biodiversity Assessment'!$Z$103&gt;0,'Biodiversity Assessment'!$Z$103*VLOOKUP(CONCATENATE($B24,$C24,'ESVD - Land Use &amp; Climate Match'!$A$11)&amp;"2",'ESVD - SUMMARY TABLE'!$E$2:$G$294,3,FALSE),0)+IF('Biodiversity Assessment'!$Z$104&gt;0,'Biodiversity Assessment'!$Z$104*VLOOKUP(CONCATENATE($B24,$C24,'ESVD - Land Use &amp; Climate Match'!$A$11)&amp;"3",'ESVD - SUMMARY TABLE'!$E$2:$G$294,3,FALSE),0)+IF('Biodiversity Assessment'!$Z$105&gt;0,'Biodiversity Assessment'!$Z$105*VLOOKUP(CONCATENATE($B24,$C24,'ESVD - Land Use &amp; Climate Match'!$A$11)&amp;"4",'ESVD - SUMMARY TABLE'!$E$2:$G$294,3,FALSE),0),IF('Biodiversity Assessment'!$BD$102&gt;0,'Biodiversity Assessment'!$BD$102*VLOOKUP(CONCATENATE($B24,$C24,'ESVD - Land Use &amp; Climate Match'!$A$32)&amp;"1",'ESVD - SUMMARY TABLE'!$E$2:$G$294,3,FALSE),0)+IF('Biodiversity Assessment'!$BD$103&gt;0,'Biodiversity Assessment'!$BD$103*VLOOKUP(CONCATENATE($B24,$C24,'ESVD - Land Use &amp; Climate Match'!$A$32)&amp;"2",'ESVD - SUMMARY TABLE'!$E$2:$G$294,3,FALSE),0)+IF('Biodiversity Assessment'!$BD$104&gt;0,'Biodiversity Assessment'!$BD$104*VLOOKUP(CONCATENATE($B24,$C24,'ESVD - Land Use &amp; Climate Match'!$A$32)&amp;"3",'ESVD - SUMMARY TABLE'!$E$2:$G$294,3,FALSE),0)+IF('Biodiversity Assessment'!$BD$105&gt;0,'Biodiversity Assessment'!$BD$105*VLOOKUP(CONCATENATE($B24,$C24,'ESVD - Land Use &amp; Climate Match'!$A$32)&amp;"4",'ESVD - SUMMARY TABLE'!$E$2:$G$294,3,FALSE),0)+IF('Biodiversity Assessment'!$BD$106&gt;0,'Biodiversity Assessment'!$BD$106*VLOOKUP(CONCATENATE($B24,$C24,'ESVD - Land Use &amp; Climate Match'!$A$32)&amp;"5",'ESVD - SUMMARY TABLE'!$E$2:$G$294,3,FALSE)))))),0)</f>
        <v>0</v>
      </c>
      <c r="H24" s="122">
        <f>IFERROR(IF(E24='ESVD - Land Use &amp; Climate Match'!$A$1,IF(SUM('Biodiversity Assessment'!$O$102:$P$105)=SUM('Biodiversity Assessment'!$J$102:$M$105),IF('Biodiversity Assessment'!$O$102&gt;0,'Biodiversity Assessment'!$O$102*VLOOKUP('ESVD - Social Value of Bio'!F24&amp;"1",'ESVD - SUMMARY TABLE'!$E$2:$G$294,3,),0)+IF('Biodiversity Assessment'!$O$103&gt;0,'Biodiversity Assessment'!$O$103*VLOOKUP('ESVD - Social Value of Bio'!F24&amp;"2",'ESVD - SUMMARY TABLE'!$E$2:$G$294,3,),0)+IF('Biodiversity Assessment'!$O$104&gt;0,'Biodiversity Assessment'!$O$104*VLOOKUP('ESVD - Social Value of Bio'!F24&amp;"3",'ESVD - SUMMARY TABLE'!$E$2:$G$294,3,),0)+IF('Biodiversity Assessment'!$O$105&gt;0,'Biodiversity Assessment'!$O$105*VLOOKUP('ESVD - Social Value of Bio'!F24&amp;"4",'ESVD - SUMMARY TABLE'!$E$2:$G$294,3,),0),0),IF(E24='ESVD - Land Use &amp; Climate Match'!$A$11,IF(SUM('Biodiversity Assessment'!$AH$102:$AN$105)=SUM('Biodiversity Assessment'!$Z$102:$AF$105),IF('Biodiversity Assessment'!$AH$102&gt;0,'Biodiversity Assessment'!$AH$102*VLOOKUP('ESVD - Social Value of Bio'!F24&amp;"1",'ESVD - SUMMARY TABLE'!$E$2:$G$294,3,FALSE),0)+IF('Biodiversity Assessment'!$AH$103&gt;0,'Biodiversity Assessment'!$AH$103*VLOOKUP('ESVD - Social Value of Bio'!F24&amp;"2",'ESVD - SUMMARY TABLE'!$E$2:$G$294,3,FALSE),0)+IF('Biodiversity Assessment'!$AH$104&gt;0,'Biodiversity Assessment'!$AH$104*VLOOKUP('ESVD - Social Value of Bio'!F24&amp;"3",'ESVD - SUMMARY TABLE'!$E$2:$G$294,3,FALSE),0)+IF('Biodiversity Assessment'!$AH$105&gt;0,'Biodiversity Assessment'!$AH$105*VLOOKUP('ESVD - Social Value of Bio'!F24&amp;"4",'ESVD - SUMMARY TABLE'!$E$2:$G$294,3,FALSE),0),0),IF(E24='ESVD - Land Use &amp; Climate Match'!$A$32,IF(SUM('Biodiversity Assessment'!$BF$102:$BF$106)=SUM('Biodiversity Assessment'!$BD$102:$BD$106),IF('Biodiversity Assessment'!$BF$102&gt;0,'Biodiversity Assessment'!$BF$102*VLOOKUP('ESVD - Social Value of Bio'!F24&amp;"1",'ESVD - SUMMARY TABLE'!$E$2:$G$294,3,FALSE),0)+IF('Biodiversity Assessment'!$BF$103&gt;0,'Biodiversity Assessment'!$BF$103*VLOOKUP('ESVD - Social Value of Bio'!F24&amp;"2",'ESVD - SUMMARY TABLE'!$E$2:$G$294,3,FALSE),0)+IF('Biodiversity Assessment'!$BF$104&gt;0,'Biodiversity Assessment'!$BF$104*VLOOKUP('ESVD - Social Value of Bio'!F24&amp;"3",'ESVD - SUMMARY TABLE'!$E$2:$G$294,3,FALSE),0)+IF('Biodiversity Assessment'!$BF$105&gt;0,'Biodiversity Assessment'!$BF$105*VLOOKUP('ESVD - Social Value of Bio'!F24&amp;"4",'ESVD - SUMMARY TABLE'!$E$2:$G$294,3,FALSE),0)+IF('Biodiversity Assessment'!$BF$106&gt;0,'Biodiversity Assessment'!$BF$106*VLOOKUP('ESVD - Social Value of Bio'!F24&amp;"5",'ESVD - SUMMARY TABLE'!$E$2:$G$294,3,FALSE),0),0),AVERAGE(IF(SUM('Biodiversity Assessment'!$O$102:$P$105)=SUM('Biodiversity Assessment'!$J$102:$M$105),IF('Biodiversity Assessment'!$O$102&gt;0,'Biodiversity Assessment'!$O$102*VLOOKUP(CONCATENATE($B24,$C24,'ESVD - Land Use &amp; Climate Match'!$A$1)&amp;"1",'ESVD - SUMMARY TABLE'!$E$2:$G$294,3,),0)+IF('Biodiversity Assessment'!$O$103&gt;0,'Biodiversity Assessment'!$O$103*VLOOKUP(CONCATENATE($B24,$C24,'ESVD - Land Use &amp; Climate Match'!$A$1)&amp;"2",'ESVD - SUMMARY TABLE'!$E$2:$G$294,3,),0)+IF('Biodiversity Assessment'!$O$104&gt;0,'Biodiversity Assessment'!$O$104*VLOOKUP(CONCATENATE($B24,$C24,'ESVD - Land Use &amp; Climate Match'!$A$1)&amp;"3",'ESVD - SUMMARY TABLE'!$E$2:$G$294,3,),0)+IF('Biodiversity Assessment'!$O$105&gt;0,'Biodiversity Assessment'!$O$105*VLOOKUP(CONCATENATE($B24,$C24,'ESVD - Land Use &amp; Climate Match'!$A$1)&amp;"4",'ESVD - SUMMARY TABLE'!$E$2:$G$294,3,),0),0),IF(SUM('Biodiversity Assessment'!$AH$102:$AN$105)=SUM('Biodiversity Assessment'!$Z$102:$AF$105),IF('Biodiversity Assessment'!$AH$102&gt;0,'Biodiversity Assessment'!$AH$102*VLOOKUP(CONCATENATE($B24,$C24,'ESVD - Land Use &amp; Climate Match'!$A$11)&amp;"1",'ESVD - SUMMARY TABLE'!$E$2:$G$294,3,FALSE),0)+IF('Biodiversity Assessment'!$AH$103&gt;0,'Biodiversity Assessment'!$AH$103*VLOOKUP(CONCATENATE($B24,$C24,'ESVD - Land Use &amp; Climate Match'!$A$11)&amp;"2",'ESVD - SUMMARY TABLE'!$E$2:$G$294,3,FALSE),0)+IF('Biodiversity Assessment'!$AH$104&gt;0,'Biodiversity Assessment'!$AH$104*VLOOKUP(CONCATENATE($B24,$C24,'ESVD - Land Use &amp; Climate Match'!$A$11)&amp;"3",'ESVD - SUMMARY TABLE'!$E$2:$G$294,3,FALSE),0)+IF('Biodiversity Assessment'!$AH$105&gt;0,'Biodiversity Assessment'!$AH$105*VLOOKUP(CONCATENATE($B24,$C24,'ESVD - Land Use &amp; Climate Match'!$A$11)&amp;"4",'ESVD - SUMMARY TABLE'!$E$2:$G$294,3,FALSE),0),0),IF(SUM('Biodiversity Assessment'!$BF$102:$BF$106)=SUM('Biodiversity Assessment'!$BD$102:$BD$106),IF('Biodiversity Assessment'!$BF$102&gt;0,'Biodiversity Assessment'!$BF$102*VLOOKUP(CONCATENATE($B24,$C24,'ESVD - Land Use &amp; Climate Match'!$A$32)&amp;"1",'ESVD - SUMMARY TABLE'!$E$2:$G$294,3,FALSE),0)+IF('Biodiversity Assessment'!$BF$103&gt;0,'Biodiversity Assessment'!$BF$103*VLOOKUP(CONCATENATE($B24,$C24,'ESVD - Land Use &amp; Climate Match'!$A$32)&amp;"2",'ESVD - SUMMARY TABLE'!$E$2:$G$294,3,FALSE),0)+IF('Biodiversity Assessment'!$BF$104&gt;0,'Biodiversity Assessment'!$BF$104*VLOOKUP(CONCATENATE($B24,$C24,'ESVD - Land Use &amp; Climate Match'!$A$32)&amp;"3",'ESVD - SUMMARY TABLE'!$E$2:$G$294,3,FALSE),0)+IF('Biodiversity Assessment'!$BF$105&gt;0,'Biodiversity Assessment'!$BF$105*VLOOKUP(CONCATENATE($B24,$C24,'ESVD - Land Use &amp; Climate Match'!$A$32)&amp;"4",'ESVD - SUMMARY TABLE'!$E$2:$G$294,3,FALSE),0)+IF('Biodiversity Assessment'!$BF$106&gt;0,'Biodiversity Assessment'!$BF$106*VLOOKUP(CONCATENATE($B24,$C24,'ESVD - Land Use &amp; Climate Match'!$A$32)&amp;"5",'ESVD - SUMMARY TABLE'!$E$2:$G$294,3,FALSE),0),0))))),0)</f>
        <v>0</v>
      </c>
      <c r="I24" s="122">
        <f>'Biodiversity Assessment'!CR39</f>
        <v>0</v>
      </c>
      <c r="J24" s="122">
        <f>IFERROR(IF(I24&gt;0,I24*'Biodiversity Assessment'!$M39,IF(H24&gt;0,H24*'Biodiversity Assessment'!$M39,G24*'Biodiversity Assessment'!$M39)),0)</f>
        <v>0</v>
      </c>
      <c r="K24" s="454"/>
      <c r="L24" s="123">
        <f>IFERROR(IF(E24='ESVD - Land Use &amp; Climate Match'!$A$1,IF('Biodiversity Assessment'!$J$102&gt;0,'Biodiversity Assessment'!$J$102*VLOOKUP('ESVD - Social Value of Bio'!F24&amp;"1",'ESVD - SUMMARY TABLE'!$E$2:$G$294,3,),0)+IF('Biodiversity Assessment'!$J$103&gt;0,'Biodiversity Assessment'!$J$103*VLOOKUP('ESVD - Social Value of Bio'!F24&amp;"2",'ESVD - SUMMARY TABLE'!$E$2:$G$294,3,),0)+IF('Biodiversity Assessment'!$J$104&gt;0,'Biodiversity Assessment'!$J$104*VLOOKUP('ESVD - Social Value of Bio'!F24&amp;"3",'ESVD - SUMMARY TABLE'!$E$2:$G$294,3,),0)+IF('Biodiversity Assessment'!$J$105&gt;0,'Biodiversity Assessment'!$J$105*VLOOKUP('ESVD - Social Value of Bio'!F24&amp;"4",'ESVD - SUMMARY TABLE'!$E$2:$G$294,3,),0),IF(E24='ESVD - Land Use &amp; Climate Match'!$A$11,IF('Biodiversity Assessment'!$Z$102&gt;0,'Biodiversity Assessment'!$Z$102*VLOOKUP('ESVD - Social Value of Bio'!F24&amp;"1",'ESVD - SUMMARY TABLE'!$E$2:$G$294,3,FALSE),0)+IF('Biodiversity Assessment'!$Z$103&gt;0,'Biodiversity Assessment'!$Z$103*VLOOKUP('ESVD - Social Value of Bio'!F24&amp;"2",'ESVD - SUMMARY TABLE'!$E$2:$G$294,3,FALSE),0)+IF('Biodiversity Assessment'!$Z$104&gt;0,'Biodiversity Assessment'!$Z$104*VLOOKUP('ESVD - Social Value of Bio'!F24&amp;"3",'ESVD - SUMMARY TABLE'!$E$2:$G$294,3,FALSE),0)+IF('Biodiversity Assessment'!$Z$105&gt;0,'Biodiversity Assessment'!$Z$105*VLOOKUP('ESVD - Social Value of Bio'!F24&amp;"4",'ESVD - SUMMARY TABLE'!$E$2:$G$294,3,FALSE),0),IF(E24='ESVD - Land Use &amp; Climate Match'!$A$32,IF('Biodiversity Assessment'!$BD$102&gt;0,'Biodiversity Assessment'!$BD$102*VLOOKUP('ESVD - Social Value of Bio'!F24&amp;"1",'ESVD - SUMMARY TABLE'!$E$2:$G$294,3,FALSE),0)+IF('Biodiversity Assessment'!$BD$103&gt;0,'Biodiversity Assessment'!$BD$103*VLOOKUP('ESVD - Social Value of Bio'!F24&amp;"2",'ESVD - SUMMARY TABLE'!$E$2:$G$294,3,FALSE),0)+IF('Biodiversity Assessment'!$BD$104&gt;0,'Biodiversity Assessment'!$BD$104*VLOOKUP('ESVD - Social Value of Bio'!F24&amp;"3",'ESVD - SUMMARY TABLE'!$E$2:$G$294,3,FALSE),0)+IF('Biodiversity Assessment'!$BD$105&gt;0,'Biodiversity Assessment'!$BD$105*VLOOKUP('ESVD - Social Value of Bio'!F24&amp;"4",'ESVD - SUMMARY TABLE'!$E$2:$G$294,3,FALSE),0)+IF('Biodiversity Assessment'!$BD$106&gt;0,'Biodiversity Assessment'!$BD$106*VLOOKUP('ESVD - Social Value of Bio'!F24&amp;"5",'ESVD - SUMMARY TABLE'!$E$2:$G$294,3,FALSE),0),VLOOKUP('ESVD - Social Value of Bio'!F24&amp;"1",'ESVD - SUMMARY TABLE'!$E$2:$G$294,3,FALSE)))),0)</f>
        <v>0</v>
      </c>
      <c r="M24" s="123">
        <f>IFERROR(IF(E24='ESVD - Land Use &amp; Climate Match'!$A$1,IF(SUM('Biodiversity Assessment'!$O$102:$P$105)=SUM('Biodiversity Assessment'!$J$102:$M$105),IF('Biodiversity Assessment'!$O$102&gt;0,'Biodiversity Assessment'!$O$102*VLOOKUP('ESVD - Social Value of Bio'!F24&amp;"1",'ESVD - SUMMARY TABLE'!$E$2:$G$294,3,),0)+IF('Biodiversity Assessment'!$O$103&gt;0,'Biodiversity Assessment'!$O$103*VLOOKUP('ESVD - Social Value of Bio'!F24&amp;"2",'ESVD - SUMMARY TABLE'!$E$2:$G$294,3,),0)+IF('Biodiversity Assessment'!$O$104&gt;0,'Biodiversity Assessment'!$O$104*VLOOKUP('ESVD - Social Value of Bio'!F24&amp;"3",'ESVD - SUMMARY TABLE'!$E$2:$G$294,3,),0)+IF('Biodiversity Assessment'!$O$105&gt;0,'Biodiversity Assessment'!$O$105*VLOOKUP('ESVD - Social Value of Bio'!F24&amp;"4",'ESVD - SUMMARY TABLE'!$E$2:$G$294,3,),0),0),IF(E24='ESVD - Land Use &amp; Climate Match'!$A$11,IF(SUM('Biodiversity Assessment'!$AH$102:$AN$105)=SUM('Biodiversity Assessment'!$Z$102:$AF$105),IF('Biodiversity Assessment'!$AH$102&gt;0,'Biodiversity Assessment'!$AH$102*VLOOKUP('ESVD - Social Value of Bio'!F24&amp;"1",'ESVD - SUMMARY TABLE'!$E$2:$G$294,3,FALSE),0)+IF('Biodiversity Assessment'!$AH$103&gt;0,'Biodiversity Assessment'!$AH$103*VLOOKUP('ESVD - Social Value of Bio'!F24&amp;"2",'ESVD - SUMMARY TABLE'!$E$2:$G$294,3,FALSE),0)+IF('Biodiversity Assessment'!$AH$104&gt;0,'Biodiversity Assessment'!$AH$104*VLOOKUP('ESVD - Social Value of Bio'!F24&amp;"3",'ESVD - SUMMARY TABLE'!$E$2:$G$294,3,FALSE),0)+IF('Biodiversity Assessment'!$AH$105&gt;0,'Biodiversity Assessment'!$AH$105*VLOOKUP('ESVD - Social Value of Bio'!F24&amp;"4",'ESVD - SUMMARY TABLE'!$E$2:$G$294,3,FALSE),0),0),IF(E24='ESVD - Land Use &amp; Climate Match'!$A$32,IF(SUM('Biodiversity Assessment'!$BF$102:$BF$106)=SUM('Biodiversity Assessment'!$BD$102:$BD$106),IF('Biodiversity Assessment'!$BF$102&gt;0,'Biodiversity Assessment'!$BF$102*VLOOKUP('ESVD - Social Value of Bio'!F24&amp;"1",'ESVD - SUMMARY TABLE'!$E$2:$G$294,3,FALSE),0)+IF('Biodiversity Assessment'!$BF$103&gt;0,'Biodiversity Assessment'!$BF$103*VLOOKUP('ESVD - Social Value of Bio'!F24&amp;"2",'ESVD - SUMMARY TABLE'!$E$2:$G$294,3,FALSE),0)+IF('Biodiversity Assessment'!$BF$104&gt;0,'Biodiversity Assessment'!$BF$104*VLOOKUP('ESVD - Social Value of Bio'!F24&amp;"3",'ESVD - SUMMARY TABLE'!$E$2:$G$294,3,FALSE),0)+IF('Biodiversity Assessment'!$BF$105&gt;0,'Biodiversity Assessment'!$BF$105*VLOOKUP('ESVD - Social Value of Bio'!F24&amp;"4",'ESVD - SUMMARY TABLE'!$E$2:$G$294,3,FALSE),0)+IF('Biodiversity Assessment'!$BF$106&gt;0,'Biodiversity Assessment'!$BF$106*VLOOKUP('ESVD - Social Value of Bio'!F24&amp;"5",'ESVD - SUMMARY TABLE'!$E$2:$G$294,3,FALSE),0),0),VLOOKUP('ESVD - Social Value of Bio'!F24&amp;"1",'ESVD - SUMMARY TABLE'!$E$2:$G$294,3,FALSE)))),0)</f>
        <v>0</v>
      </c>
      <c r="N24" s="123">
        <f>'Biodiversity Assessment'!CR39</f>
        <v>0</v>
      </c>
      <c r="O24" s="124">
        <f>IFERROR(IF(N24&gt;0,N24*'Biodiversity Assessment'!M39,IF(M24&gt;0,M24*'Biodiversity Assessment'!M39,L24*'Biodiversity Assessment'!M39)),0)</f>
        <v>0</v>
      </c>
      <c r="P24" s="456"/>
      <c r="R24" s="108" t="str">
        <f>'Biodiversity Assessment'!O39</f>
        <v>Select land use</v>
      </c>
      <c r="S24" s="109" t="str">
        <f>IF(OR(R24=Data!$E$4,R24=Data!$E$5,R24=Data!$E$6,R24=Data!$E$7),Data!$E$4,IF(OR(R24=Data!$E$9,R24=Data!$E$10,R24=Data!$E$11),Data!$E$9,IF(OR(R24=Data!$E$12,R24=Data!$E$13,R24=Data!$E$14),"Cropland",IF(OR(R24=Data!$E$16,R24=Data!$E$17),"Agroforestry",R24))))</f>
        <v>Select land use</v>
      </c>
      <c r="T24" s="109" t="str">
        <f t="shared" si="1"/>
        <v>Please selectPlease selectSelect land use</v>
      </c>
      <c r="U24" s="122">
        <f>IFERROR(IF(S24='ESVD - Land Use &amp; Climate Match'!$A$1,IF('Biodiversity Assessment'!$J$102&gt;0,'Biodiversity Assessment'!$J$102*VLOOKUP('ESVD - Social Value of Bio'!T24&amp;"1",'ESVD - SUMMARY TABLE'!$E$2:$G$294,3,),0)+IF('Biodiversity Assessment'!$J$103&gt;0,'Biodiversity Assessment'!$J$103*VLOOKUP('ESVD - Social Value of Bio'!T24&amp;"2",'ESVD - SUMMARY TABLE'!$E$2:$G$294,3,),0)+IF('Biodiversity Assessment'!$J$104&gt;0,'Biodiversity Assessment'!$J$104*VLOOKUP('ESVD - Social Value of Bio'!T24&amp;"3",'ESVD - SUMMARY TABLE'!$E$2:$G$294,3,),0)+IF('Biodiversity Assessment'!$J$105&gt;0,'Biodiversity Assessment'!$J$105*VLOOKUP('ESVD - Social Value of Bio'!T24&amp;"4",'ESVD - SUMMARY TABLE'!$E$2:$G$294,3,),0),IF(S24='ESVD - Land Use &amp; Climate Match'!$A$11,IF('Biodiversity Assessment'!$Z$102&gt;0,'Biodiversity Assessment'!$Z$102*VLOOKUP('ESVD - Social Value of Bio'!T24&amp;"1",'ESVD - SUMMARY TABLE'!$E$2:$G$294,3,FALSE),0)+IF('Biodiversity Assessment'!$Z$103&gt;0,'Biodiversity Assessment'!$Z$103*VLOOKUP('ESVD - Social Value of Bio'!T24&amp;"2",'ESVD - SUMMARY TABLE'!$E$2:$G$294,3,FALSE),0)+IF('Biodiversity Assessment'!$Z$104&gt;0,'Biodiversity Assessment'!$Z$104*VLOOKUP('ESVD - Social Value of Bio'!T24&amp;"3",'ESVD - SUMMARY TABLE'!$E$2:$G$294,3,FALSE),0)+IF('Biodiversity Assessment'!$Z$105&gt;0,'Biodiversity Assessment'!$Z$105*VLOOKUP('ESVD - Social Value of Bio'!T24&amp;"4",'ESVD - SUMMARY TABLE'!$E$2:$G$294,3,FALSE),0),IF(S24='ESVD - Land Use &amp; Climate Match'!$A$32,IF('Biodiversity Assessment'!$BD$102&gt;0,'Biodiversity Assessment'!$BD$102*VLOOKUP('ESVD - Social Value of Bio'!T24&amp;"1",'ESVD - SUMMARY TABLE'!$E$2:$G$294,3,FALSE),0)+IF('Biodiversity Assessment'!$BD$103&gt;0,'Biodiversity Assessment'!$BD$103*VLOOKUP('ESVD - Social Value of Bio'!T24&amp;"2",'ESVD - SUMMARY TABLE'!$E$2:$G$294,3,FALSE),0)+IF('Biodiversity Assessment'!$BD$104&gt;0,'Biodiversity Assessment'!$BD$104*VLOOKUP('ESVD - Social Value of Bio'!T24&amp;"3",'ESVD - SUMMARY TABLE'!$E$2:$G$294,3,FALSE),0)+IF('Biodiversity Assessment'!$BD$105&gt;0,'Biodiversity Assessment'!$BD$105*VLOOKUP('ESVD - Social Value of Bio'!T24&amp;"4",'ESVD - SUMMARY TABLE'!$E$2:$G$294,3,FALSE),0)+IF('Biodiversity Assessment'!$BD$106&gt;0,'Biodiversity Assessment'!$BD$106*VLOOKUP('ESVD - Social Value of Bio'!T24&amp;"5",'ESVD - SUMMARY TABLE'!$E$2:$G$294,3,FALSE),0),AVERAGE(IF('Biodiversity Assessment'!$J$102&gt;0,'Biodiversity Assessment'!$J$102*VLOOKUP(CONCATENATE(B24,C24,'ESVD - Land Use &amp; Climate Match'!$A$1)&amp;"1",'ESVD - SUMMARY TABLE'!$E$2:$G$294,3,),0)+IF('Biodiversity Assessment'!$J$103&gt;0,'Biodiversity Assessment'!$J$103*VLOOKUP(CONCATENATE(B24,C24,'ESVD - Land Use &amp; Climate Match'!$A$1)&amp;"2",'ESVD - SUMMARY TABLE'!$E$2:$G$294,3,),0)+IF('Biodiversity Assessment'!$J$104&gt;0,'Biodiversity Assessment'!$J$104*VLOOKUP(CONCATENATE(B24,C24,'ESVD - Land Use &amp; Climate Match'!$A$1)&amp;"3",'ESVD - SUMMARY TABLE'!$E$2:$G$294,3,),0)+IF('Biodiversity Assessment'!$J$105&gt;0,'Biodiversity Assessment'!$J$105*VLOOKUP(CONCATENATE(B24,C24,'ESVD - Land Use &amp; Climate Match'!$A$1)&amp;"4",'ESVD - SUMMARY TABLE'!$E$2:$G$294,3,),0),IF('Biodiversity Assessment'!$Z$102&gt;0,'Biodiversity Assessment'!$Z$102*VLOOKUP(CONCATENATE(B24,C24,'ESVD - Land Use &amp; Climate Match'!$A$11)&amp;"1",'ESVD - SUMMARY TABLE'!$E$2:$G$294,3,FALSE),0)+IF('Biodiversity Assessment'!$Z$103&gt;0,'Biodiversity Assessment'!$Z$103*VLOOKUP(CONCATENATE(B24,C24,'ESVD - Land Use &amp; Climate Match'!$A$11)&amp;"2",'ESVD - SUMMARY TABLE'!$E$2:$G$294,3,FALSE),0)+IF('Biodiversity Assessment'!$Z$104&gt;0,'Biodiversity Assessment'!$Z$104*VLOOKUP(CONCATENATE(B24,C24,'ESVD - Land Use &amp; Climate Match'!$A$11)&amp;"3",'ESVD - SUMMARY TABLE'!$E$2:$G$294,3,FALSE),0)+IF('Biodiversity Assessment'!$Z$105&gt;0,'Biodiversity Assessment'!$Z$105*VLOOKUP(CONCATENATE(B24,C24,'ESVD - Land Use &amp; Climate Match'!$A$11)&amp;"4",'ESVD - SUMMARY TABLE'!$E$2:$G$294,3,FALSE),0),IF('Biodiversity Assessment'!$BD$102&gt;0,'Biodiversity Assessment'!$BD$102*VLOOKUP(CONCATENATE(B24,C24,'ESVD - Land Use &amp; Climate Match'!$A$32)&amp;"1",'ESVD - SUMMARY TABLE'!$E$2:$G$294,3,FALSE),0)+IF('Biodiversity Assessment'!$BD$103&gt;0,'Biodiversity Assessment'!$BD$103*VLOOKUP(CONCATENATE(B24,C24,'ESVD - Land Use &amp; Climate Match'!$A$32)&amp;"2",'ESVD - SUMMARY TABLE'!$E$2:$G$294,3,FALSE),0)+IF('Biodiversity Assessment'!$BD$104&gt;0,'Biodiversity Assessment'!$BD$104*VLOOKUP(CONCATENATE(B24,C24,'ESVD - Land Use &amp; Climate Match'!$A$32)&amp;"3",'ESVD - SUMMARY TABLE'!$E$2:$G$294,3,FALSE),0)+IF('Biodiversity Assessment'!$BD$105&gt;0,'Biodiversity Assessment'!$BD$105*VLOOKUP(CONCATENATE(B24,C24,'ESVD - Land Use &amp; Climate Match'!$A$32)&amp;"4",'ESVD - SUMMARY TABLE'!$E$2:$G$294,3,FALSE),0)+IF('Biodiversity Assessment'!$BD$106&gt;0,'Biodiversity Assessment'!$BD$106*VLOOKUP(CONCATENATE(B24,C24,'ESVD - Land Use &amp; Climate Match'!$A$32)&amp;"5",'ESVD - SUMMARY TABLE'!$E$2:$G$294,3,FALSE)))))),0)</f>
        <v>0</v>
      </c>
      <c r="V24" s="122">
        <f>IFERROR(IF(S24='ESVD - Land Use &amp; Climate Match'!$A$1,IF(SUM('Biodiversity Assessment'!$O$102:$P$105)=SUM('Biodiversity Assessment'!$J$102:$M$105),IF('Biodiversity Assessment'!$O$102&gt;0,'Biodiversity Assessment'!$O$102*VLOOKUP('ESVD - Social Value of Bio'!T24&amp;"1",'ESVD - SUMMARY TABLE'!$E$2:$G$294,3,),0)+IF('Biodiversity Assessment'!$O$103&gt;0,'Biodiversity Assessment'!$O$103*VLOOKUP('ESVD - Social Value of Bio'!T24&amp;"2",'ESVD - SUMMARY TABLE'!$E$2:$G$294,3,),0)+IF('Biodiversity Assessment'!$O$104&gt;0,'Biodiversity Assessment'!$O$104*VLOOKUP('ESVD - Social Value of Bio'!T24&amp;"3",'ESVD - SUMMARY TABLE'!$E$2:$G$294,3,),0)+IF('Biodiversity Assessment'!$O$105&gt;0,'Biodiversity Assessment'!$O$105*VLOOKUP('ESVD - Social Value of Bio'!T24&amp;"4",'ESVD - SUMMARY TABLE'!$E$2:$G$294,3,),0),0),IF(S24='ESVD - Land Use &amp; Climate Match'!$A$11,IF(SUM('Biodiversity Assessment'!$AH$102:$AN$105)=SUM('Biodiversity Assessment'!$Z$102:$AF$105),IF('Biodiversity Assessment'!$AH$102&gt;0,'Biodiversity Assessment'!$AH$102*VLOOKUP('ESVD - Social Value of Bio'!T24&amp;"1",'ESVD - SUMMARY TABLE'!$E$2:$G$294,3,FALSE),0)+IF('Biodiversity Assessment'!$AH$103&gt;0,'Biodiversity Assessment'!$AH$103*VLOOKUP('ESVD - Social Value of Bio'!T24&amp;"2",'ESVD - SUMMARY TABLE'!$E$2:$G$294,3,FALSE),0)+IF('Biodiversity Assessment'!$AH$104&gt;0,'Biodiversity Assessment'!$AH$104*VLOOKUP('ESVD - Social Value of Bio'!T24&amp;"3",'ESVD - SUMMARY TABLE'!$E$2:$G$294,3,FALSE),0)+IF('Biodiversity Assessment'!$AH$105&gt;0,'Biodiversity Assessment'!$AH$105*VLOOKUP('ESVD - Social Value of Bio'!T24&amp;"4",'ESVD - SUMMARY TABLE'!$E$2:$G$294,3,FALSE),0),0),IF(S24='ESVD - Land Use &amp; Climate Match'!$A$32,IF(SUM('Biodiversity Assessment'!$BF$102:$BF$106)=SUM('Biodiversity Assessment'!$BD$102:$BD$106),IF('Biodiversity Assessment'!$BF$102&gt;0,'Biodiversity Assessment'!$BF$102*VLOOKUP('ESVD - Social Value of Bio'!T24&amp;"1",'ESVD - SUMMARY TABLE'!$E$2:$G$294,3,FALSE),0)+IF('Biodiversity Assessment'!$BF$103&gt;0,'Biodiversity Assessment'!$BF$103*VLOOKUP('ESVD - Social Value of Bio'!T24&amp;"2",'ESVD - SUMMARY TABLE'!$E$2:$G$294,3,FALSE),0)+IF('Biodiversity Assessment'!$BF$104&gt;0,'Biodiversity Assessment'!$BF$104*VLOOKUP('ESVD - Social Value of Bio'!T24&amp;"3",'ESVD - SUMMARY TABLE'!$E$2:$G$294,3,FALSE),0)+IF('Biodiversity Assessment'!$BF$105&gt;0,'Biodiversity Assessment'!$BF$105*VLOOKUP('ESVD - Social Value of Bio'!T24&amp;"4",'ESVD - SUMMARY TABLE'!$E$2:$G$294,3,FALSE),0)+IF('Biodiversity Assessment'!$BF$106&gt;0,'Biodiversity Assessment'!$BF$106*VLOOKUP('ESVD - Social Value of Bio'!T24&amp;"5",'ESVD - SUMMARY TABLE'!$E$2:$G$294,3,FALSE),0),0),AVERAGE(IF(SUM('Biodiversity Assessment'!$O$102:$P$105)=SUM('Biodiversity Assessment'!$J$102:$M$105),IF('Biodiversity Assessment'!$O$102&gt;0,'Biodiversity Assessment'!$O$102*VLOOKUP(CONCATENATE($B24,$C24,'ESVD - Land Use &amp; Climate Match'!$A$1)&amp;"1",'ESVD - SUMMARY TABLE'!$E$2:$G$294,3,),0)+IF('Biodiversity Assessment'!$O$103&gt;0,'Biodiversity Assessment'!$O$103*VLOOKUP(CONCATENATE($B24,$C24,'ESVD - Land Use &amp; Climate Match'!$A$1)&amp;"2",'ESVD - SUMMARY TABLE'!$E$2:$G$294,3,),0)+IF('Biodiversity Assessment'!$O$104&gt;0,'Biodiversity Assessment'!$O$104*VLOOKUP(CONCATENATE($B24,$C24,'ESVD - Land Use &amp; Climate Match'!$A$1)&amp;"3",'ESVD - SUMMARY TABLE'!$E$2:$G$294,3,),0)+IF('Biodiversity Assessment'!$O$105&gt;0,'Biodiversity Assessment'!$O$105*VLOOKUP(CONCATENATE($B24,$C24,'ESVD - Land Use &amp; Climate Match'!$A$1)&amp;"4",'ESVD - SUMMARY TABLE'!$E$2:$G$294,3,),0),0),IF(SUM('Biodiversity Assessment'!$AH$102:$AN$105)=SUM('Biodiversity Assessment'!$Z$102:$AF$105),IF('Biodiversity Assessment'!$AH$102&gt;0,'Biodiversity Assessment'!$AH$102*VLOOKUP(CONCATENATE($B24,$C24,'ESVD - Land Use &amp; Climate Match'!$A$11)&amp;"1",'ESVD - SUMMARY TABLE'!$E$2:$G$294,3,FALSE),0)+IF('Biodiversity Assessment'!$AH$103&gt;0,'Biodiversity Assessment'!$AH$103*VLOOKUP(CONCATENATE($B24,$C24,'ESVD - Land Use &amp; Climate Match'!$A$11)&amp;"2",'ESVD - SUMMARY TABLE'!$E$2:$G$294,3,FALSE),0)+IF('Biodiversity Assessment'!$AH$104&gt;0,'Biodiversity Assessment'!$AH$104*VLOOKUP(CONCATENATE($B24,$C24,'ESVD - Land Use &amp; Climate Match'!$A$11)&amp;"3",'ESVD - SUMMARY TABLE'!$E$2:$G$294,3,FALSE),0)+IF('Biodiversity Assessment'!$AH$105&gt;0,'Biodiversity Assessment'!$AH$105*VLOOKUP(CONCATENATE($B24,$C24,'ESVD - Land Use &amp; Climate Match'!$A$11)&amp;"4",'ESVD - SUMMARY TABLE'!$E$2:$G$294,3,FALSE),0),0),IF(SUM('Biodiversity Assessment'!$BF$102:$BF$106)=SUM('Biodiversity Assessment'!$BD$102:$BD$106),IF('Biodiversity Assessment'!$BF$102&gt;0,'Biodiversity Assessment'!$BF$102*VLOOKUP(CONCATENATE($B24,$C24,'ESVD - Land Use &amp; Climate Match'!$A$32)&amp;"1",'ESVD - SUMMARY TABLE'!$E$2:$G$294,3,FALSE),0)+IF('Biodiversity Assessment'!$BF$103&gt;0,'Biodiversity Assessment'!$BF$103*VLOOKUP(CONCATENATE($B24,$C24,'ESVD - Land Use &amp; Climate Match'!$A$32)&amp;"2",'ESVD - SUMMARY TABLE'!$E$2:$G$294,3,FALSE),0)+IF('Biodiversity Assessment'!$BF$104&gt;0,'Biodiversity Assessment'!$BF$104*VLOOKUP(CONCATENATE($B24,$C24,'ESVD - Land Use &amp; Climate Match'!$A$32)&amp;"3",'ESVD - SUMMARY TABLE'!$E$2:$G$294,3,FALSE),0)+IF('Biodiversity Assessment'!$BF$105&gt;0,'Biodiversity Assessment'!$BF$105*VLOOKUP(CONCATENATE($B24,$C24,'ESVD - Land Use &amp; Climate Match'!$A$32)&amp;"4",'ESVD - SUMMARY TABLE'!$E$2:$G$294,3,FALSE),0)+IF('Biodiversity Assessment'!$BF$106&gt;0,'Biodiversity Assessment'!$BF$106*VLOOKUP(CONCATENATE($B24,$C24,'ESVD - Land Use &amp; Climate Match'!$A$32)&amp;"5",'ESVD - SUMMARY TABLE'!$E$2:$G$294,3,FALSE),0),0))))),0)</f>
        <v>0</v>
      </c>
      <c r="W24" s="122">
        <f>'Biodiversity Assessment'!CX39</f>
        <v>0</v>
      </c>
      <c r="X24" s="122">
        <f>IFERROR(IF(W24&gt;0,W24*'Biodiversity Assessment'!$U39,IF(V24&gt;0,V24*'Biodiversity Assessment'!$U39,U24*'Biodiversity Assessment'!$U39)),0)</f>
        <v>0</v>
      </c>
      <c r="Y24" s="454"/>
      <c r="Z24" s="123">
        <f>IFERROR(IF(S24='ESVD - Land Use &amp; Climate Match'!$A$1,IF('Biodiversity Assessment'!$J$102&gt;0,'Biodiversity Assessment'!$J$102*VLOOKUP('ESVD - Social Value of Bio'!T24&amp;"1",'ESVD - SUMMARY TABLE'!$E$2:$G$294,3,),0)+IF('Biodiversity Assessment'!$J$103&gt;0,'Biodiversity Assessment'!$J$103*VLOOKUP('ESVD - Social Value of Bio'!T24&amp;"2",'ESVD - SUMMARY TABLE'!$E$2:$G$294,3,),0)+IF('Biodiversity Assessment'!$J$104&gt;0,'Biodiversity Assessment'!$J$104*VLOOKUP('ESVD - Social Value of Bio'!T24&amp;"3",'ESVD - SUMMARY TABLE'!$E$2:$G$294,3,),0)+IF('Biodiversity Assessment'!$J$105&gt;0,'Biodiversity Assessment'!$J$105*VLOOKUP('ESVD - Social Value of Bio'!T24&amp;"4",'ESVD - SUMMARY TABLE'!$E$2:$G$294,3,),0),IF(S24='ESVD - Land Use &amp; Climate Match'!$A$11,IF('Biodiversity Assessment'!$Z$102&gt;0,'Biodiversity Assessment'!$Z$102*VLOOKUP('ESVD - Social Value of Bio'!T24&amp;"1",'ESVD - SUMMARY TABLE'!$E$2:$G$294,3,FALSE),0)+IF('Biodiversity Assessment'!$Z$103&gt;0,'Biodiversity Assessment'!$Z$103*VLOOKUP('ESVD - Social Value of Bio'!T24&amp;"2",'ESVD - SUMMARY TABLE'!$E$2:$G$294,3,FALSE),0)+IF('Biodiversity Assessment'!$Z$104&gt;0,'Biodiversity Assessment'!$Z$104*VLOOKUP('ESVD - Social Value of Bio'!T24&amp;"3",'ESVD - SUMMARY TABLE'!$E$2:$G$294,3,FALSE),0)+IF('Biodiversity Assessment'!$Z$105&gt;0,'Biodiversity Assessment'!$Z$105*VLOOKUP('ESVD - Social Value of Bio'!T24&amp;"4",'ESVD - SUMMARY TABLE'!$E$2:$G$294,3,FALSE),0),IF(S24='ESVD - Land Use &amp; Climate Match'!$A$32,IF('Biodiversity Assessment'!$BD$102&gt;0,'Biodiversity Assessment'!$BD$102*VLOOKUP('ESVD - Social Value of Bio'!T24&amp;"1",'ESVD - SUMMARY TABLE'!$E$2:$G$294,3,FALSE),0)+IF('Biodiversity Assessment'!$BD$103&gt;0,'Biodiversity Assessment'!$BD$103*VLOOKUP('ESVD - Social Value of Bio'!T24&amp;"2",'ESVD - SUMMARY TABLE'!$E$2:$G$294,3,FALSE),0)+IF('Biodiversity Assessment'!$BD$104&gt;0,'Biodiversity Assessment'!$BD$104*VLOOKUP('ESVD - Social Value of Bio'!T24&amp;"3",'ESVD - SUMMARY TABLE'!$E$2:$G$294,3,FALSE),0)+IF('Biodiversity Assessment'!$BD$105&gt;0,'Biodiversity Assessment'!$BD$105*VLOOKUP('ESVD - Social Value of Bio'!T24&amp;"4",'ESVD - SUMMARY TABLE'!$E$2:$G$294,3,FALSE),0)+IF('Biodiversity Assessment'!$BD$106&gt;0,'Biodiversity Assessment'!$BD$106*VLOOKUP('ESVD - Social Value of Bio'!T24&amp;"5",'ESVD - SUMMARY TABLE'!$E$2:$G$294,3,FALSE),0),VLOOKUP('ESVD - Social Value of Bio'!T24&amp;"1",'ESVD - SUMMARY TABLE'!$E$2:$G$294,3,FALSE)))),0)</f>
        <v>0</v>
      </c>
      <c r="AA24" s="123">
        <f>IFERROR(IF(S24='ESVD - Land Use &amp; Climate Match'!$A$1,IF(SUM('Biodiversity Assessment'!$O$102:$P$105)=SUM('Biodiversity Assessment'!$J$102:$M$105),IF('Biodiversity Assessment'!$O$102&gt;0,'Biodiversity Assessment'!$O$102*VLOOKUP('ESVD - Social Value of Bio'!T24&amp;"1",'ESVD - SUMMARY TABLE'!$E$2:$G$294,3,),0)+IF('Biodiversity Assessment'!$O$103&gt;0,'Biodiversity Assessment'!$O$103*VLOOKUP('ESVD - Social Value of Bio'!T24&amp;"2",'ESVD - SUMMARY TABLE'!$E$2:$G$294,3,),0)+IF('Biodiversity Assessment'!$O$104&gt;0,'Biodiversity Assessment'!$O$104*VLOOKUP('ESVD - Social Value of Bio'!T24&amp;"3",'ESVD - SUMMARY TABLE'!$E$2:$G$294,3,),0)+IF('Biodiversity Assessment'!$O$105&gt;0,'Biodiversity Assessment'!$O$105*VLOOKUP('ESVD - Social Value of Bio'!T24&amp;"4",'ESVD - SUMMARY TABLE'!$E$2:$G$294,3,),0),0),IF(S24='ESVD - Land Use &amp; Climate Match'!$A$11,IF(SUM('Biodiversity Assessment'!$AH$102:$AN$105)=SUM('Biodiversity Assessment'!$Z$102:$AF$105),IF('Biodiversity Assessment'!$AH$102&gt;0,'Biodiversity Assessment'!$AH$102*VLOOKUP('ESVD - Social Value of Bio'!T24&amp;"1",'ESVD - SUMMARY TABLE'!$E$2:$G$294,3,FALSE),0)+IF('Biodiversity Assessment'!$AH$103&gt;0,'Biodiversity Assessment'!$AH$103*VLOOKUP('ESVD - Social Value of Bio'!T24&amp;"2",'ESVD - SUMMARY TABLE'!$E$2:$G$294,3,FALSE),0)+IF('Biodiversity Assessment'!$AH$104&gt;0,'Biodiversity Assessment'!$AH$104*VLOOKUP('ESVD - Social Value of Bio'!T24&amp;"3",'ESVD - SUMMARY TABLE'!$E$2:$G$294,3,FALSE),0)+IF('Biodiversity Assessment'!$AH$105&gt;0,'Biodiversity Assessment'!$AH$105*VLOOKUP('ESVD - Social Value of Bio'!T24&amp;"4",'ESVD - SUMMARY TABLE'!$E$2:$G$294,3,FALSE),0),0),IF(S24='ESVD - Land Use &amp; Climate Match'!$A$32,IF(SUM('Biodiversity Assessment'!$BF$102:$BF$106)=SUM('Biodiversity Assessment'!$BD$102:$BD$106),IF('Biodiversity Assessment'!$BF$102&gt;0,'Biodiversity Assessment'!$BF$102*VLOOKUP('ESVD - Social Value of Bio'!T24&amp;"1",'ESVD - SUMMARY TABLE'!$E$2:$G$294,3,FALSE),0)+IF('Biodiversity Assessment'!$BF$103&gt;0,'Biodiversity Assessment'!$BF$103*VLOOKUP('ESVD - Social Value of Bio'!T24&amp;"2",'ESVD - SUMMARY TABLE'!$E$2:$G$294,3,FALSE),0)+IF('Biodiversity Assessment'!$BF$104&gt;0,'Biodiversity Assessment'!$BF$104*VLOOKUP('ESVD - Social Value of Bio'!T24&amp;"3",'ESVD - SUMMARY TABLE'!$E$2:$G$294,3,FALSE),0)+IF('Biodiversity Assessment'!$BF$105&gt;0,'Biodiversity Assessment'!$BF$105*VLOOKUP('ESVD - Social Value of Bio'!T24&amp;"4",'ESVD - SUMMARY TABLE'!$E$2:$G$294,3,FALSE),0)+IF('Biodiversity Assessment'!$BF$106&gt;0,'Biodiversity Assessment'!$BF$106*VLOOKUP('ESVD - Social Value of Bio'!T24&amp;"5",'ESVD - SUMMARY TABLE'!$E$2:$G$294,3,FALSE),0),0),VLOOKUP('ESVD - Social Value of Bio'!T24&amp;"1",'ESVD - SUMMARY TABLE'!$E$2:$G$294,3,FALSE)))),0)</f>
        <v>0</v>
      </c>
      <c r="AB24" s="123">
        <f>'Biodiversity Assessment'!CX39</f>
        <v>0</v>
      </c>
      <c r="AC24" s="124">
        <f>IFERROR(IF(AB24&gt;0,AB24*'Biodiversity Assessment'!U39,IF(AA24&gt;0,AA24*'Biodiversity Assessment'!U39,Z24*'Biodiversity Assessment'!U39)),0)</f>
        <v>0</v>
      </c>
      <c r="AD24" s="456"/>
      <c r="AG24" s="453"/>
    </row>
    <row r="25" spans="1:33" s="110" customFormat="1" ht="10.5" x14ac:dyDescent="0.25">
      <c r="A25" s="107" t="s">
        <v>400</v>
      </c>
      <c r="B25" s="108" t="str">
        <f>IF(Start!$D$28&gt;1000,CONCATENATE(Start!$D$20," Mountain"),Start!$D$20)</f>
        <v>Please select</v>
      </c>
      <c r="C25" s="108" t="str">
        <f>Start!$D$24</f>
        <v>Please select</v>
      </c>
      <c r="D25" s="109" t="str">
        <f>'Biodiversity Assessment'!G40</f>
        <v>Select land use</v>
      </c>
      <c r="E25" s="109" t="str">
        <f>IF(OR(D25=Data!$E$4,D25=Data!$E$5,D25=Data!$E$6,D25=Data!$E$7),Data!$E$4,IF(OR(D25=Data!$E$9,D25=Data!$E$10,D25=Data!$E$11),Data!$E$9,IF(OR(D25=Data!$E$12,D25=Data!$E$13,D25=Data!$E$14),"Cropland",IF(OR(D25=Data!$E$16,D25=Data!$E$17),"Agroforestry",D25))))</f>
        <v>Select land use</v>
      </c>
      <c r="F25" s="109" t="str">
        <f t="shared" si="0"/>
        <v>Please selectPlease selectSelect land use</v>
      </c>
      <c r="G25" s="122">
        <f>IFERROR(IF(E25='ESVD - Land Use &amp; Climate Match'!$A$1,IF('Biodiversity Assessment'!$J$102&gt;0,'Biodiversity Assessment'!$J$102*VLOOKUP('ESVD - Social Value of Bio'!F25&amp;"1",'ESVD - SUMMARY TABLE'!$E$2:$G$294,3,),0)+IF('Biodiversity Assessment'!$J$103&gt;0,'Biodiversity Assessment'!$J$103*VLOOKUP('ESVD - Social Value of Bio'!F25&amp;"2",'ESVD - SUMMARY TABLE'!$E$2:$G$294,3,),0)+IF('Biodiversity Assessment'!$J$104&gt;0,'Biodiversity Assessment'!$J$104*VLOOKUP('ESVD - Social Value of Bio'!F25&amp;"3",'ESVD - SUMMARY TABLE'!$E$2:$G$294,3,),0)+IF('Biodiversity Assessment'!$J$105&gt;0,'Biodiversity Assessment'!$J$105*VLOOKUP('ESVD - Social Value of Bio'!F25&amp;"4",'ESVD - SUMMARY TABLE'!$E$2:$G$294,3,),0),IF(E25='ESVD - Land Use &amp; Climate Match'!$A$11,IF('Biodiversity Assessment'!$Z$102&gt;0,'Biodiversity Assessment'!$Z$102*VLOOKUP('ESVD - Social Value of Bio'!F25&amp;"1",'ESVD - SUMMARY TABLE'!$E$2:$G$294,3,FALSE),0)+IF('Biodiversity Assessment'!$Z$103&gt;0,'Biodiversity Assessment'!$Z$103*VLOOKUP('ESVD - Social Value of Bio'!F25&amp;"2",'ESVD - SUMMARY TABLE'!$E$2:$G$294,3,FALSE),0)+IF('Biodiversity Assessment'!$Z$104&gt;0,'Biodiversity Assessment'!$Z$104*VLOOKUP('ESVD - Social Value of Bio'!F25&amp;"3",'ESVD - SUMMARY TABLE'!$E$2:$G$294,3,FALSE),0)+IF('Biodiversity Assessment'!$Z$105&gt;0,'Biodiversity Assessment'!$Z$105*VLOOKUP('ESVD - Social Value of Bio'!F25&amp;"4",'ESVD - SUMMARY TABLE'!$E$2:$G$294,3,FALSE),0),IF(E25='ESVD - Land Use &amp; Climate Match'!$A$32,IF('Biodiversity Assessment'!$BD$102&gt;0,'Biodiversity Assessment'!$BD$102*VLOOKUP('ESVD - Social Value of Bio'!F25&amp;"1",'ESVD - SUMMARY TABLE'!$E$2:$G$294,3,FALSE),0)+IF('Biodiversity Assessment'!$BD$103&gt;0,'Biodiversity Assessment'!$BD$103*VLOOKUP('ESVD - Social Value of Bio'!F25&amp;"2",'ESVD - SUMMARY TABLE'!$E$2:$G$294,3,FALSE),0)+IF('Biodiversity Assessment'!$BD$104&gt;0,'Biodiversity Assessment'!$BD$104*VLOOKUP('ESVD - Social Value of Bio'!F25&amp;"3",'ESVD - SUMMARY TABLE'!$E$2:$G$294,3,FALSE),0)+IF('Biodiversity Assessment'!$BD$105&gt;0,'Biodiversity Assessment'!$BD$105*VLOOKUP('ESVD - Social Value of Bio'!F25&amp;"4",'ESVD - SUMMARY TABLE'!$E$2:$G$294,3,FALSE),0)+IF('Biodiversity Assessment'!$BD$106&gt;0,'Biodiversity Assessment'!$BD$106*VLOOKUP('ESVD - Social Value of Bio'!F25&amp;"5",'ESVD - SUMMARY TABLE'!$E$2:$G$294,3,FALSE),0),AVERAGE(IF('Biodiversity Assessment'!$J$102&gt;0,'Biodiversity Assessment'!$J$102*VLOOKUP(CONCATENATE($B25,$C25,'ESVD - Land Use &amp; Climate Match'!$A$1)&amp;"1",'ESVD - SUMMARY TABLE'!$E$2:$G$294,3,),0)+IF('Biodiversity Assessment'!$J$103&gt;0,'Biodiversity Assessment'!$J$103*VLOOKUP(CONCATENATE($B25,$C25,'ESVD - Land Use &amp; Climate Match'!$A$1)&amp;"2",'ESVD - SUMMARY TABLE'!$E$2:$G$294,3,),0)+IF('Biodiversity Assessment'!$J$104&gt;0,'Biodiversity Assessment'!$J$104*VLOOKUP(CONCATENATE($B25,$C25,'ESVD - Land Use &amp; Climate Match'!$A$1)&amp;"3",'ESVD - SUMMARY TABLE'!$E$2:$G$294,3,),0)+IF('Biodiversity Assessment'!$J$105&gt;0,'Biodiversity Assessment'!$J$105*VLOOKUP(CONCATENATE($B25,$C25,'ESVD - Land Use &amp; Climate Match'!$A$1)&amp;"4",'ESVD - SUMMARY TABLE'!$E$2:$G$294,3,),0),IF('Biodiversity Assessment'!$Z$102&gt;0,'Biodiversity Assessment'!$Z$102*VLOOKUP(CONCATENATE($B25,$C25,'ESVD - Land Use &amp; Climate Match'!$A$11)&amp;"1",'ESVD - SUMMARY TABLE'!$E$2:$G$294,3,FALSE),0)+IF('Biodiversity Assessment'!$Z$103&gt;0,'Biodiversity Assessment'!$Z$103*VLOOKUP(CONCATENATE($B25,$C25,'ESVD - Land Use &amp; Climate Match'!$A$11)&amp;"2",'ESVD - SUMMARY TABLE'!$E$2:$G$294,3,FALSE),0)+IF('Biodiversity Assessment'!$Z$104&gt;0,'Biodiversity Assessment'!$Z$104*VLOOKUP(CONCATENATE($B25,$C25,'ESVD - Land Use &amp; Climate Match'!$A$11)&amp;"3",'ESVD - SUMMARY TABLE'!$E$2:$G$294,3,FALSE),0)+IF('Biodiversity Assessment'!$Z$105&gt;0,'Biodiversity Assessment'!$Z$105*VLOOKUP(CONCATENATE($B25,$C25,'ESVD - Land Use &amp; Climate Match'!$A$11)&amp;"4",'ESVD - SUMMARY TABLE'!$E$2:$G$294,3,FALSE),0),IF('Biodiversity Assessment'!$BD$102&gt;0,'Biodiversity Assessment'!$BD$102*VLOOKUP(CONCATENATE($B25,$C25,'ESVD - Land Use &amp; Climate Match'!$A$32)&amp;"1",'ESVD - SUMMARY TABLE'!$E$2:$G$294,3,FALSE),0)+IF('Biodiversity Assessment'!$BD$103&gt;0,'Biodiversity Assessment'!$BD$103*VLOOKUP(CONCATENATE($B25,$C25,'ESVD - Land Use &amp; Climate Match'!$A$32)&amp;"2",'ESVD - SUMMARY TABLE'!$E$2:$G$294,3,FALSE),0)+IF('Biodiversity Assessment'!$BD$104&gt;0,'Biodiversity Assessment'!$BD$104*VLOOKUP(CONCATENATE($B25,$C25,'ESVD - Land Use &amp; Climate Match'!$A$32)&amp;"3",'ESVD - SUMMARY TABLE'!$E$2:$G$294,3,FALSE),0)+IF('Biodiversity Assessment'!$BD$105&gt;0,'Biodiversity Assessment'!$BD$105*VLOOKUP(CONCATENATE($B25,$C25,'ESVD - Land Use &amp; Climate Match'!$A$32)&amp;"4",'ESVD - SUMMARY TABLE'!$E$2:$G$294,3,FALSE),0)+IF('Biodiversity Assessment'!$BD$106&gt;0,'Biodiversity Assessment'!$BD$106*VLOOKUP(CONCATENATE($B25,$C25,'ESVD - Land Use &amp; Climate Match'!$A$32)&amp;"5",'ESVD - SUMMARY TABLE'!$E$2:$G$294,3,FALSE)))))),0)</f>
        <v>0</v>
      </c>
      <c r="H25" s="122">
        <f>IFERROR(IF(E25='ESVD - Land Use &amp; Climate Match'!$A$1,IF(SUM('Biodiversity Assessment'!$O$102:$P$105)=SUM('Biodiversity Assessment'!$J$102:$M$105),IF('Biodiversity Assessment'!$O$102&gt;0,'Biodiversity Assessment'!$O$102*VLOOKUP('ESVD - Social Value of Bio'!F25&amp;"1",'ESVD - SUMMARY TABLE'!$E$2:$G$294,3,),0)+IF('Biodiversity Assessment'!$O$103&gt;0,'Biodiversity Assessment'!$O$103*VLOOKUP('ESVD - Social Value of Bio'!F25&amp;"2",'ESVD - SUMMARY TABLE'!$E$2:$G$294,3,),0)+IF('Biodiversity Assessment'!$O$104&gt;0,'Biodiversity Assessment'!$O$104*VLOOKUP('ESVD - Social Value of Bio'!F25&amp;"3",'ESVD - SUMMARY TABLE'!$E$2:$G$294,3,),0)+IF('Biodiversity Assessment'!$O$105&gt;0,'Biodiversity Assessment'!$O$105*VLOOKUP('ESVD - Social Value of Bio'!F25&amp;"4",'ESVD - SUMMARY TABLE'!$E$2:$G$294,3,),0),0),IF(E25='ESVD - Land Use &amp; Climate Match'!$A$11,IF(SUM('Biodiversity Assessment'!$AH$102:$AN$105)=SUM('Biodiversity Assessment'!$Z$102:$AF$105),IF('Biodiversity Assessment'!$AH$102&gt;0,'Biodiversity Assessment'!$AH$102*VLOOKUP('ESVD - Social Value of Bio'!F25&amp;"1",'ESVD - SUMMARY TABLE'!$E$2:$G$294,3,FALSE),0)+IF('Biodiversity Assessment'!$AH$103&gt;0,'Biodiversity Assessment'!$AH$103*VLOOKUP('ESVD - Social Value of Bio'!F25&amp;"2",'ESVD - SUMMARY TABLE'!$E$2:$G$294,3,FALSE),0)+IF('Biodiversity Assessment'!$AH$104&gt;0,'Biodiversity Assessment'!$AH$104*VLOOKUP('ESVD - Social Value of Bio'!F25&amp;"3",'ESVD - SUMMARY TABLE'!$E$2:$G$294,3,FALSE),0)+IF('Biodiversity Assessment'!$AH$105&gt;0,'Biodiversity Assessment'!$AH$105*VLOOKUP('ESVD - Social Value of Bio'!F25&amp;"4",'ESVD - SUMMARY TABLE'!$E$2:$G$294,3,FALSE),0),0),IF(E25='ESVD - Land Use &amp; Climate Match'!$A$32,IF(SUM('Biodiversity Assessment'!$BF$102:$BF$106)=SUM('Biodiversity Assessment'!$BD$102:$BD$106),IF('Biodiversity Assessment'!$BF$102&gt;0,'Biodiversity Assessment'!$BF$102*VLOOKUP('ESVD - Social Value of Bio'!F25&amp;"1",'ESVD - SUMMARY TABLE'!$E$2:$G$294,3,FALSE),0)+IF('Biodiversity Assessment'!$BF$103&gt;0,'Biodiversity Assessment'!$BF$103*VLOOKUP('ESVD - Social Value of Bio'!F25&amp;"2",'ESVD - SUMMARY TABLE'!$E$2:$G$294,3,FALSE),0)+IF('Biodiversity Assessment'!$BF$104&gt;0,'Biodiversity Assessment'!$BF$104*VLOOKUP('ESVD - Social Value of Bio'!F25&amp;"3",'ESVD - SUMMARY TABLE'!$E$2:$G$294,3,FALSE),0)+IF('Biodiversity Assessment'!$BF$105&gt;0,'Biodiversity Assessment'!$BF$105*VLOOKUP('ESVD - Social Value of Bio'!F25&amp;"4",'ESVD - SUMMARY TABLE'!$E$2:$G$294,3,FALSE),0)+IF('Biodiversity Assessment'!$BF$106&gt;0,'Biodiversity Assessment'!$BF$106*VLOOKUP('ESVD - Social Value of Bio'!F25&amp;"5",'ESVD - SUMMARY TABLE'!$E$2:$G$294,3,FALSE),0),0),AVERAGE(IF(SUM('Biodiversity Assessment'!$O$102:$P$105)=SUM('Biodiversity Assessment'!$J$102:$M$105),IF('Biodiversity Assessment'!$O$102&gt;0,'Biodiversity Assessment'!$O$102*VLOOKUP(CONCATENATE($B25,$C25,'ESVD - Land Use &amp; Climate Match'!$A$1)&amp;"1",'ESVD - SUMMARY TABLE'!$E$2:$G$294,3,),0)+IF('Biodiversity Assessment'!$O$103&gt;0,'Biodiversity Assessment'!$O$103*VLOOKUP(CONCATENATE($B25,$C25,'ESVD - Land Use &amp; Climate Match'!$A$1)&amp;"2",'ESVD - SUMMARY TABLE'!$E$2:$G$294,3,),0)+IF('Biodiversity Assessment'!$O$104&gt;0,'Biodiversity Assessment'!$O$104*VLOOKUP(CONCATENATE($B25,$C25,'ESVD - Land Use &amp; Climate Match'!$A$1)&amp;"3",'ESVD - SUMMARY TABLE'!$E$2:$G$294,3,),0)+IF('Biodiversity Assessment'!$O$105&gt;0,'Biodiversity Assessment'!$O$105*VLOOKUP(CONCATENATE($B25,$C25,'ESVD - Land Use &amp; Climate Match'!$A$1)&amp;"4",'ESVD - SUMMARY TABLE'!$E$2:$G$294,3,),0),0),IF(SUM('Biodiversity Assessment'!$AH$102:$AN$105)=SUM('Biodiversity Assessment'!$Z$102:$AF$105),IF('Biodiversity Assessment'!$AH$102&gt;0,'Biodiversity Assessment'!$AH$102*VLOOKUP(CONCATENATE($B25,$C25,'ESVD - Land Use &amp; Climate Match'!$A$11)&amp;"1",'ESVD - SUMMARY TABLE'!$E$2:$G$294,3,FALSE),0)+IF('Biodiversity Assessment'!$AH$103&gt;0,'Biodiversity Assessment'!$AH$103*VLOOKUP(CONCATENATE($B25,$C25,'ESVD - Land Use &amp; Climate Match'!$A$11)&amp;"2",'ESVD - SUMMARY TABLE'!$E$2:$G$294,3,FALSE),0)+IF('Biodiversity Assessment'!$AH$104&gt;0,'Biodiversity Assessment'!$AH$104*VLOOKUP(CONCATENATE($B25,$C25,'ESVD - Land Use &amp; Climate Match'!$A$11)&amp;"3",'ESVD - SUMMARY TABLE'!$E$2:$G$294,3,FALSE),0)+IF('Biodiversity Assessment'!$AH$105&gt;0,'Biodiversity Assessment'!$AH$105*VLOOKUP(CONCATENATE($B25,$C25,'ESVD - Land Use &amp; Climate Match'!$A$11)&amp;"4",'ESVD - SUMMARY TABLE'!$E$2:$G$294,3,FALSE),0),0),IF(SUM('Biodiversity Assessment'!$BF$102:$BF$106)=SUM('Biodiversity Assessment'!$BD$102:$BD$106),IF('Biodiversity Assessment'!$BF$102&gt;0,'Biodiversity Assessment'!$BF$102*VLOOKUP(CONCATENATE($B25,$C25,'ESVD - Land Use &amp; Climate Match'!$A$32)&amp;"1",'ESVD - SUMMARY TABLE'!$E$2:$G$294,3,FALSE),0)+IF('Biodiversity Assessment'!$BF$103&gt;0,'Biodiversity Assessment'!$BF$103*VLOOKUP(CONCATENATE($B25,$C25,'ESVD - Land Use &amp; Climate Match'!$A$32)&amp;"2",'ESVD - SUMMARY TABLE'!$E$2:$G$294,3,FALSE),0)+IF('Biodiversity Assessment'!$BF$104&gt;0,'Biodiversity Assessment'!$BF$104*VLOOKUP(CONCATENATE($B25,$C25,'ESVD - Land Use &amp; Climate Match'!$A$32)&amp;"3",'ESVD - SUMMARY TABLE'!$E$2:$G$294,3,FALSE),0)+IF('Biodiversity Assessment'!$BF$105&gt;0,'Biodiversity Assessment'!$BF$105*VLOOKUP(CONCATENATE($B25,$C25,'ESVD - Land Use &amp; Climate Match'!$A$32)&amp;"4",'ESVD - SUMMARY TABLE'!$E$2:$G$294,3,FALSE),0)+IF('Biodiversity Assessment'!$BF$106&gt;0,'Biodiversity Assessment'!$BF$106*VLOOKUP(CONCATENATE($B25,$C25,'ESVD - Land Use &amp; Climate Match'!$A$32)&amp;"5",'ESVD - SUMMARY TABLE'!$E$2:$G$294,3,FALSE),0),0))))),0)</f>
        <v>0</v>
      </c>
      <c r="I25" s="122">
        <f>'Biodiversity Assessment'!CR40</f>
        <v>0</v>
      </c>
      <c r="J25" s="122">
        <f>IFERROR(IF(I25&gt;0,I25*'Biodiversity Assessment'!$M40,IF(H25&gt;0,H25*'Biodiversity Assessment'!$M40,G25*'Biodiversity Assessment'!$M40)),0)</f>
        <v>0</v>
      </c>
      <c r="K25" s="454"/>
      <c r="L25" s="123">
        <f>IFERROR(IF(E25='ESVD - Land Use &amp; Climate Match'!$A$1,IF('Biodiversity Assessment'!$J$102&gt;0,'Biodiversity Assessment'!$J$102*VLOOKUP('ESVD - Social Value of Bio'!F25&amp;"1",'ESVD - SUMMARY TABLE'!$E$2:$G$294,3,),0)+IF('Biodiversity Assessment'!$J$103&gt;0,'Biodiversity Assessment'!$J$103*VLOOKUP('ESVD - Social Value of Bio'!F25&amp;"2",'ESVD - SUMMARY TABLE'!$E$2:$G$294,3,),0)+IF('Biodiversity Assessment'!$J$104&gt;0,'Biodiversity Assessment'!$J$104*VLOOKUP('ESVD - Social Value of Bio'!F25&amp;"3",'ESVD - SUMMARY TABLE'!$E$2:$G$294,3,),0)+IF('Biodiversity Assessment'!$J$105&gt;0,'Biodiversity Assessment'!$J$105*VLOOKUP('ESVD - Social Value of Bio'!F25&amp;"4",'ESVD - SUMMARY TABLE'!$E$2:$G$294,3,),0),IF(E25='ESVD - Land Use &amp; Climate Match'!$A$11,IF('Biodiversity Assessment'!$Z$102&gt;0,'Biodiversity Assessment'!$Z$102*VLOOKUP('ESVD - Social Value of Bio'!F25&amp;"1",'ESVD - SUMMARY TABLE'!$E$2:$G$294,3,FALSE),0)+IF('Biodiversity Assessment'!$Z$103&gt;0,'Biodiversity Assessment'!$Z$103*VLOOKUP('ESVD - Social Value of Bio'!F25&amp;"2",'ESVD - SUMMARY TABLE'!$E$2:$G$294,3,FALSE),0)+IF('Biodiversity Assessment'!$Z$104&gt;0,'Biodiversity Assessment'!$Z$104*VLOOKUP('ESVD - Social Value of Bio'!F25&amp;"3",'ESVD - SUMMARY TABLE'!$E$2:$G$294,3,FALSE),0)+IF('Biodiversity Assessment'!$Z$105&gt;0,'Biodiversity Assessment'!$Z$105*VLOOKUP('ESVD - Social Value of Bio'!F25&amp;"4",'ESVD - SUMMARY TABLE'!$E$2:$G$294,3,FALSE),0),IF(E25='ESVD - Land Use &amp; Climate Match'!$A$32,IF('Biodiversity Assessment'!$BD$102&gt;0,'Biodiversity Assessment'!$BD$102*VLOOKUP('ESVD - Social Value of Bio'!F25&amp;"1",'ESVD - SUMMARY TABLE'!$E$2:$G$294,3,FALSE),0)+IF('Biodiversity Assessment'!$BD$103&gt;0,'Biodiversity Assessment'!$BD$103*VLOOKUP('ESVD - Social Value of Bio'!F25&amp;"2",'ESVD - SUMMARY TABLE'!$E$2:$G$294,3,FALSE),0)+IF('Biodiversity Assessment'!$BD$104&gt;0,'Biodiversity Assessment'!$BD$104*VLOOKUP('ESVD - Social Value of Bio'!F25&amp;"3",'ESVD - SUMMARY TABLE'!$E$2:$G$294,3,FALSE),0)+IF('Biodiversity Assessment'!$BD$105&gt;0,'Biodiversity Assessment'!$BD$105*VLOOKUP('ESVD - Social Value of Bio'!F25&amp;"4",'ESVD - SUMMARY TABLE'!$E$2:$G$294,3,FALSE),0)+IF('Biodiversity Assessment'!$BD$106&gt;0,'Biodiversity Assessment'!$BD$106*VLOOKUP('ESVD - Social Value of Bio'!F25&amp;"5",'ESVD - SUMMARY TABLE'!$E$2:$G$294,3,FALSE),0),VLOOKUP('ESVD - Social Value of Bio'!F25&amp;"1",'ESVD - SUMMARY TABLE'!$E$2:$G$294,3,FALSE)))),0)</f>
        <v>0</v>
      </c>
      <c r="M25" s="123">
        <f>IFERROR(IF(E25='ESVD - Land Use &amp; Climate Match'!$A$1,IF(SUM('Biodiversity Assessment'!$O$102:$P$105)=SUM('Biodiversity Assessment'!$J$102:$M$105),IF('Biodiversity Assessment'!$O$102&gt;0,'Biodiversity Assessment'!$O$102*VLOOKUP('ESVD - Social Value of Bio'!F25&amp;"1",'ESVD - SUMMARY TABLE'!$E$2:$G$294,3,),0)+IF('Biodiversity Assessment'!$O$103&gt;0,'Biodiversity Assessment'!$O$103*VLOOKUP('ESVD - Social Value of Bio'!F25&amp;"2",'ESVD - SUMMARY TABLE'!$E$2:$G$294,3,),0)+IF('Biodiversity Assessment'!$O$104&gt;0,'Biodiversity Assessment'!$O$104*VLOOKUP('ESVD - Social Value of Bio'!F25&amp;"3",'ESVD - SUMMARY TABLE'!$E$2:$G$294,3,),0)+IF('Biodiversity Assessment'!$O$105&gt;0,'Biodiversity Assessment'!$O$105*VLOOKUP('ESVD - Social Value of Bio'!F25&amp;"4",'ESVD - SUMMARY TABLE'!$E$2:$G$294,3,),0),0),IF(E25='ESVD - Land Use &amp; Climate Match'!$A$11,IF(SUM('Biodiversity Assessment'!$AH$102:$AN$105)=SUM('Biodiversity Assessment'!$Z$102:$AF$105),IF('Biodiversity Assessment'!$AH$102&gt;0,'Biodiversity Assessment'!$AH$102*VLOOKUP('ESVD - Social Value of Bio'!F25&amp;"1",'ESVD - SUMMARY TABLE'!$E$2:$G$294,3,FALSE),0)+IF('Biodiversity Assessment'!$AH$103&gt;0,'Biodiversity Assessment'!$AH$103*VLOOKUP('ESVD - Social Value of Bio'!F25&amp;"2",'ESVD - SUMMARY TABLE'!$E$2:$G$294,3,FALSE),0)+IF('Biodiversity Assessment'!$AH$104&gt;0,'Biodiversity Assessment'!$AH$104*VLOOKUP('ESVD - Social Value of Bio'!F25&amp;"3",'ESVD - SUMMARY TABLE'!$E$2:$G$294,3,FALSE),0)+IF('Biodiversity Assessment'!$AH$105&gt;0,'Biodiversity Assessment'!$AH$105*VLOOKUP('ESVD - Social Value of Bio'!F25&amp;"4",'ESVD - SUMMARY TABLE'!$E$2:$G$294,3,FALSE),0),0),IF(E25='ESVD - Land Use &amp; Climate Match'!$A$32,IF(SUM('Biodiversity Assessment'!$BF$102:$BF$106)=SUM('Biodiversity Assessment'!$BD$102:$BD$106),IF('Biodiversity Assessment'!$BF$102&gt;0,'Biodiversity Assessment'!$BF$102*VLOOKUP('ESVD - Social Value of Bio'!F25&amp;"1",'ESVD - SUMMARY TABLE'!$E$2:$G$294,3,FALSE),0)+IF('Biodiversity Assessment'!$BF$103&gt;0,'Biodiversity Assessment'!$BF$103*VLOOKUP('ESVD - Social Value of Bio'!F25&amp;"2",'ESVD - SUMMARY TABLE'!$E$2:$G$294,3,FALSE),0)+IF('Biodiversity Assessment'!$BF$104&gt;0,'Biodiversity Assessment'!$BF$104*VLOOKUP('ESVD - Social Value of Bio'!F25&amp;"3",'ESVD - SUMMARY TABLE'!$E$2:$G$294,3,FALSE),0)+IF('Biodiversity Assessment'!$BF$105&gt;0,'Biodiversity Assessment'!$BF$105*VLOOKUP('ESVD - Social Value of Bio'!F25&amp;"4",'ESVD - SUMMARY TABLE'!$E$2:$G$294,3,FALSE),0)+IF('Biodiversity Assessment'!$BF$106&gt;0,'Biodiversity Assessment'!$BF$106*VLOOKUP('ESVD - Social Value of Bio'!F25&amp;"5",'ESVD - SUMMARY TABLE'!$E$2:$G$294,3,FALSE),0),0),VLOOKUP('ESVD - Social Value of Bio'!F25&amp;"1",'ESVD - SUMMARY TABLE'!$E$2:$G$294,3,FALSE)))),0)</f>
        <v>0</v>
      </c>
      <c r="N25" s="123">
        <f>'Biodiversity Assessment'!CR40</f>
        <v>0</v>
      </c>
      <c r="O25" s="124">
        <f>IFERROR(IF(N25&gt;0,N25*'Biodiversity Assessment'!M40,IF(M25&gt;0,M25*'Biodiversity Assessment'!M40,L25*'Biodiversity Assessment'!M40)),0)</f>
        <v>0</v>
      </c>
      <c r="P25" s="456"/>
      <c r="R25" s="108" t="str">
        <f>'Biodiversity Assessment'!O40</f>
        <v>Select land use</v>
      </c>
      <c r="S25" s="109" t="str">
        <f>IF(OR(R25=Data!$E$4,R25=Data!$E$5,R25=Data!$E$6,R25=Data!$E$7),Data!$E$4,IF(OR(R25=Data!$E$9,R25=Data!$E$10,R25=Data!$E$11),Data!$E$9,IF(OR(R25=Data!$E$12,R25=Data!$E$13,R25=Data!$E$14),"Cropland",IF(OR(R25=Data!$E$16,R25=Data!$E$17),"Agroforestry",R25))))</f>
        <v>Select land use</v>
      </c>
      <c r="T25" s="109" t="str">
        <f t="shared" si="1"/>
        <v>Please selectPlease selectSelect land use</v>
      </c>
      <c r="U25" s="122">
        <f>IFERROR(IF(S25='ESVD - Land Use &amp; Climate Match'!$A$1,IF('Biodiversity Assessment'!$J$102&gt;0,'Biodiversity Assessment'!$J$102*VLOOKUP('ESVD - Social Value of Bio'!T25&amp;"1",'ESVD - SUMMARY TABLE'!$E$2:$G$294,3,),0)+IF('Biodiversity Assessment'!$J$103&gt;0,'Biodiversity Assessment'!$J$103*VLOOKUP('ESVD - Social Value of Bio'!T25&amp;"2",'ESVD - SUMMARY TABLE'!$E$2:$G$294,3,),0)+IF('Biodiversity Assessment'!$J$104&gt;0,'Biodiversity Assessment'!$J$104*VLOOKUP('ESVD - Social Value of Bio'!T25&amp;"3",'ESVD - SUMMARY TABLE'!$E$2:$G$294,3,),0)+IF('Biodiversity Assessment'!$J$105&gt;0,'Biodiversity Assessment'!$J$105*VLOOKUP('ESVD - Social Value of Bio'!T25&amp;"4",'ESVD - SUMMARY TABLE'!$E$2:$G$294,3,),0),IF(S25='ESVD - Land Use &amp; Climate Match'!$A$11,IF('Biodiversity Assessment'!$Z$102&gt;0,'Biodiversity Assessment'!$Z$102*VLOOKUP('ESVD - Social Value of Bio'!T25&amp;"1",'ESVD - SUMMARY TABLE'!$E$2:$G$294,3,FALSE),0)+IF('Biodiversity Assessment'!$Z$103&gt;0,'Biodiversity Assessment'!$Z$103*VLOOKUP('ESVD - Social Value of Bio'!T25&amp;"2",'ESVD - SUMMARY TABLE'!$E$2:$G$294,3,FALSE),0)+IF('Biodiversity Assessment'!$Z$104&gt;0,'Biodiversity Assessment'!$Z$104*VLOOKUP('ESVD - Social Value of Bio'!T25&amp;"3",'ESVD - SUMMARY TABLE'!$E$2:$G$294,3,FALSE),0)+IF('Biodiversity Assessment'!$Z$105&gt;0,'Biodiversity Assessment'!$Z$105*VLOOKUP('ESVD - Social Value of Bio'!T25&amp;"4",'ESVD - SUMMARY TABLE'!$E$2:$G$294,3,FALSE),0),IF(S25='ESVD - Land Use &amp; Climate Match'!$A$32,IF('Biodiversity Assessment'!$BD$102&gt;0,'Biodiversity Assessment'!$BD$102*VLOOKUP('ESVD - Social Value of Bio'!T25&amp;"1",'ESVD - SUMMARY TABLE'!$E$2:$G$294,3,FALSE),0)+IF('Biodiversity Assessment'!$BD$103&gt;0,'Biodiversity Assessment'!$BD$103*VLOOKUP('ESVD - Social Value of Bio'!T25&amp;"2",'ESVD - SUMMARY TABLE'!$E$2:$G$294,3,FALSE),0)+IF('Biodiversity Assessment'!$BD$104&gt;0,'Biodiversity Assessment'!$BD$104*VLOOKUP('ESVD - Social Value of Bio'!T25&amp;"3",'ESVD - SUMMARY TABLE'!$E$2:$G$294,3,FALSE),0)+IF('Biodiversity Assessment'!$BD$105&gt;0,'Biodiversity Assessment'!$BD$105*VLOOKUP('ESVD - Social Value of Bio'!T25&amp;"4",'ESVD - SUMMARY TABLE'!$E$2:$G$294,3,FALSE),0)+IF('Biodiversity Assessment'!$BD$106&gt;0,'Biodiversity Assessment'!$BD$106*VLOOKUP('ESVD - Social Value of Bio'!T25&amp;"5",'ESVD - SUMMARY TABLE'!$E$2:$G$294,3,FALSE),0),AVERAGE(IF('Biodiversity Assessment'!$J$102&gt;0,'Biodiversity Assessment'!$J$102*VLOOKUP(CONCATENATE(B25,C25,'ESVD - Land Use &amp; Climate Match'!$A$1)&amp;"1",'ESVD - SUMMARY TABLE'!$E$2:$G$294,3,),0)+IF('Biodiversity Assessment'!$J$103&gt;0,'Biodiversity Assessment'!$J$103*VLOOKUP(CONCATENATE(B25,C25,'ESVD - Land Use &amp; Climate Match'!$A$1)&amp;"2",'ESVD - SUMMARY TABLE'!$E$2:$G$294,3,),0)+IF('Biodiversity Assessment'!$J$104&gt;0,'Biodiversity Assessment'!$J$104*VLOOKUP(CONCATENATE(B25,C25,'ESVD - Land Use &amp; Climate Match'!$A$1)&amp;"3",'ESVD - SUMMARY TABLE'!$E$2:$G$294,3,),0)+IF('Biodiversity Assessment'!$J$105&gt;0,'Biodiversity Assessment'!$J$105*VLOOKUP(CONCATENATE(B25,C25,'ESVD - Land Use &amp; Climate Match'!$A$1)&amp;"4",'ESVD - SUMMARY TABLE'!$E$2:$G$294,3,),0),IF('Biodiversity Assessment'!$Z$102&gt;0,'Biodiversity Assessment'!$Z$102*VLOOKUP(CONCATENATE(B25,C25,'ESVD - Land Use &amp; Climate Match'!$A$11)&amp;"1",'ESVD - SUMMARY TABLE'!$E$2:$G$294,3,FALSE),0)+IF('Biodiversity Assessment'!$Z$103&gt;0,'Biodiversity Assessment'!$Z$103*VLOOKUP(CONCATENATE(B25,C25,'ESVD - Land Use &amp; Climate Match'!$A$11)&amp;"2",'ESVD - SUMMARY TABLE'!$E$2:$G$294,3,FALSE),0)+IF('Biodiversity Assessment'!$Z$104&gt;0,'Biodiversity Assessment'!$Z$104*VLOOKUP(CONCATENATE(B25,C25,'ESVD - Land Use &amp; Climate Match'!$A$11)&amp;"3",'ESVD - SUMMARY TABLE'!$E$2:$G$294,3,FALSE),0)+IF('Biodiversity Assessment'!$Z$105&gt;0,'Biodiversity Assessment'!$Z$105*VLOOKUP(CONCATENATE(B25,C25,'ESVD - Land Use &amp; Climate Match'!$A$11)&amp;"4",'ESVD - SUMMARY TABLE'!$E$2:$G$294,3,FALSE),0),IF('Biodiversity Assessment'!$BD$102&gt;0,'Biodiversity Assessment'!$BD$102*VLOOKUP(CONCATENATE(B25,C25,'ESVD - Land Use &amp; Climate Match'!$A$32)&amp;"1",'ESVD - SUMMARY TABLE'!$E$2:$G$294,3,FALSE),0)+IF('Biodiversity Assessment'!$BD$103&gt;0,'Biodiversity Assessment'!$BD$103*VLOOKUP(CONCATENATE(B25,C25,'ESVD - Land Use &amp; Climate Match'!$A$32)&amp;"2",'ESVD - SUMMARY TABLE'!$E$2:$G$294,3,FALSE),0)+IF('Biodiversity Assessment'!$BD$104&gt;0,'Biodiversity Assessment'!$BD$104*VLOOKUP(CONCATENATE(B25,C25,'ESVD - Land Use &amp; Climate Match'!$A$32)&amp;"3",'ESVD - SUMMARY TABLE'!$E$2:$G$294,3,FALSE),0)+IF('Biodiversity Assessment'!$BD$105&gt;0,'Biodiversity Assessment'!$BD$105*VLOOKUP(CONCATENATE(B25,C25,'ESVD - Land Use &amp; Climate Match'!$A$32)&amp;"4",'ESVD - SUMMARY TABLE'!$E$2:$G$294,3,FALSE),0)+IF('Biodiversity Assessment'!$BD$106&gt;0,'Biodiversity Assessment'!$BD$106*VLOOKUP(CONCATENATE(B25,C25,'ESVD - Land Use &amp; Climate Match'!$A$32)&amp;"5",'ESVD - SUMMARY TABLE'!$E$2:$G$294,3,FALSE)))))),0)</f>
        <v>0</v>
      </c>
      <c r="V25" s="122">
        <f>IFERROR(IF(S25='ESVD - Land Use &amp; Climate Match'!$A$1,IF(SUM('Biodiversity Assessment'!$O$102:$P$105)=SUM('Biodiversity Assessment'!$J$102:$M$105),IF('Biodiversity Assessment'!$O$102&gt;0,'Biodiversity Assessment'!$O$102*VLOOKUP('ESVD - Social Value of Bio'!T25&amp;"1",'ESVD - SUMMARY TABLE'!$E$2:$G$294,3,),0)+IF('Biodiversity Assessment'!$O$103&gt;0,'Biodiversity Assessment'!$O$103*VLOOKUP('ESVD - Social Value of Bio'!T25&amp;"2",'ESVD - SUMMARY TABLE'!$E$2:$G$294,3,),0)+IF('Biodiversity Assessment'!$O$104&gt;0,'Biodiversity Assessment'!$O$104*VLOOKUP('ESVD - Social Value of Bio'!T25&amp;"3",'ESVD - SUMMARY TABLE'!$E$2:$G$294,3,),0)+IF('Biodiversity Assessment'!$O$105&gt;0,'Biodiversity Assessment'!$O$105*VLOOKUP('ESVD - Social Value of Bio'!T25&amp;"4",'ESVD - SUMMARY TABLE'!$E$2:$G$294,3,),0),0),IF(S25='ESVD - Land Use &amp; Climate Match'!$A$11,IF(SUM('Biodiversity Assessment'!$AH$102:$AN$105)=SUM('Biodiversity Assessment'!$Z$102:$AF$105),IF('Biodiversity Assessment'!$AH$102&gt;0,'Biodiversity Assessment'!$AH$102*VLOOKUP('ESVD - Social Value of Bio'!T25&amp;"1",'ESVD - SUMMARY TABLE'!$E$2:$G$294,3,FALSE),0)+IF('Biodiversity Assessment'!$AH$103&gt;0,'Biodiversity Assessment'!$AH$103*VLOOKUP('ESVD - Social Value of Bio'!T25&amp;"2",'ESVD - SUMMARY TABLE'!$E$2:$G$294,3,FALSE),0)+IF('Biodiversity Assessment'!$AH$104&gt;0,'Biodiversity Assessment'!$AH$104*VLOOKUP('ESVD - Social Value of Bio'!T25&amp;"3",'ESVD - SUMMARY TABLE'!$E$2:$G$294,3,FALSE),0)+IF('Biodiversity Assessment'!$AH$105&gt;0,'Biodiversity Assessment'!$AH$105*VLOOKUP('ESVD - Social Value of Bio'!T25&amp;"4",'ESVD - SUMMARY TABLE'!$E$2:$G$294,3,FALSE),0),0),IF(S25='ESVD - Land Use &amp; Climate Match'!$A$32,IF(SUM('Biodiversity Assessment'!$BF$102:$BF$106)=SUM('Biodiversity Assessment'!$BD$102:$BD$106),IF('Biodiversity Assessment'!$BF$102&gt;0,'Biodiversity Assessment'!$BF$102*VLOOKUP('ESVD - Social Value of Bio'!T25&amp;"1",'ESVD - SUMMARY TABLE'!$E$2:$G$294,3,FALSE),0)+IF('Biodiversity Assessment'!$BF$103&gt;0,'Biodiversity Assessment'!$BF$103*VLOOKUP('ESVD - Social Value of Bio'!T25&amp;"2",'ESVD - SUMMARY TABLE'!$E$2:$G$294,3,FALSE),0)+IF('Biodiversity Assessment'!$BF$104&gt;0,'Biodiversity Assessment'!$BF$104*VLOOKUP('ESVD - Social Value of Bio'!T25&amp;"3",'ESVD - SUMMARY TABLE'!$E$2:$G$294,3,FALSE),0)+IF('Biodiversity Assessment'!$BF$105&gt;0,'Biodiversity Assessment'!$BF$105*VLOOKUP('ESVD - Social Value of Bio'!T25&amp;"4",'ESVD - SUMMARY TABLE'!$E$2:$G$294,3,FALSE),0)+IF('Biodiversity Assessment'!$BF$106&gt;0,'Biodiversity Assessment'!$BF$106*VLOOKUP('ESVD - Social Value of Bio'!T25&amp;"5",'ESVD - SUMMARY TABLE'!$E$2:$G$294,3,FALSE),0),0),AVERAGE(IF(SUM('Biodiversity Assessment'!$O$102:$P$105)=SUM('Biodiversity Assessment'!$J$102:$M$105),IF('Biodiversity Assessment'!$O$102&gt;0,'Biodiversity Assessment'!$O$102*VLOOKUP(CONCATENATE($B25,$C25,'ESVD - Land Use &amp; Climate Match'!$A$1)&amp;"1",'ESVD - SUMMARY TABLE'!$E$2:$G$294,3,),0)+IF('Biodiversity Assessment'!$O$103&gt;0,'Biodiversity Assessment'!$O$103*VLOOKUP(CONCATENATE($B25,$C25,'ESVD - Land Use &amp; Climate Match'!$A$1)&amp;"2",'ESVD - SUMMARY TABLE'!$E$2:$G$294,3,),0)+IF('Biodiversity Assessment'!$O$104&gt;0,'Biodiversity Assessment'!$O$104*VLOOKUP(CONCATENATE($B25,$C25,'ESVD - Land Use &amp; Climate Match'!$A$1)&amp;"3",'ESVD - SUMMARY TABLE'!$E$2:$G$294,3,),0)+IF('Biodiversity Assessment'!$O$105&gt;0,'Biodiversity Assessment'!$O$105*VLOOKUP(CONCATENATE($B25,$C25,'ESVD - Land Use &amp; Climate Match'!$A$1)&amp;"4",'ESVD - SUMMARY TABLE'!$E$2:$G$294,3,),0),0),IF(SUM('Biodiversity Assessment'!$AH$102:$AN$105)=SUM('Biodiversity Assessment'!$Z$102:$AF$105),IF('Biodiversity Assessment'!$AH$102&gt;0,'Biodiversity Assessment'!$AH$102*VLOOKUP(CONCATENATE($B25,$C25,'ESVD - Land Use &amp; Climate Match'!$A$11)&amp;"1",'ESVD - SUMMARY TABLE'!$E$2:$G$294,3,FALSE),0)+IF('Biodiversity Assessment'!$AH$103&gt;0,'Biodiversity Assessment'!$AH$103*VLOOKUP(CONCATENATE($B25,$C25,'ESVD - Land Use &amp; Climate Match'!$A$11)&amp;"2",'ESVD - SUMMARY TABLE'!$E$2:$G$294,3,FALSE),0)+IF('Biodiversity Assessment'!$AH$104&gt;0,'Biodiversity Assessment'!$AH$104*VLOOKUP(CONCATENATE($B25,$C25,'ESVD - Land Use &amp; Climate Match'!$A$11)&amp;"3",'ESVD - SUMMARY TABLE'!$E$2:$G$294,3,FALSE),0)+IF('Biodiversity Assessment'!$AH$105&gt;0,'Biodiversity Assessment'!$AH$105*VLOOKUP(CONCATENATE($B25,$C25,'ESVD - Land Use &amp; Climate Match'!$A$11)&amp;"4",'ESVD - SUMMARY TABLE'!$E$2:$G$294,3,FALSE),0),0),IF(SUM('Biodiversity Assessment'!$BF$102:$BF$106)=SUM('Biodiversity Assessment'!$BD$102:$BD$106),IF('Biodiversity Assessment'!$BF$102&gt;0,'Biodiversity Assessment'!$BF$102*VLOOKUP(CONCATENATE($B25,$C25,'ESVD - Land Use &amp; Climate Match'!$A$32)&amp;"1",'ESVD - SUMMARY TABLE'!$E$2:$G$294,3,FALSE),0)+IF('Biodiversity Assessment'!$BF$103&gt;0,'Biodiversity Assessment'!$BF$103*VLOOKUP(CONCATENATE($B25,$C25,'ESVD - Land Use &amp; Climate Match'!$A$32)&amp;"2",'ESVD - SUMMARY TABLE'!$E$2:$G$294,3,FALSE),0)+IF('Biodiversity Assessment'!$BF$104&gt;0,'Biodiversity Assessment'!$BF$104*VLOOKUP(CONCATENATE($B25,$C25,'ESVD - Land Use &amp; Climate Match'!$A$32)&amp;"3",'ESVD - SUMMARY TABLE'!$E$2:$G$294,3,FALSE),0)+IF('Biodiversity Assessment'!$BF$105&gt;0,'Biodiversity Assessment'!$BF$105*VLOOKUP(CONCATENATE($B25,$C25,'ESVD - Land Use &amp; Climate Match'!$A$32)&amp;"4",'ESVD - SUMMARY TABLE'!$E$2:$G$294,3,FALSE),0)+IF('Biodiversity Assessment'!$BF$106&gt;0,'Biodiversity Assessment'!$BF$106*VLOOKUP(CONCATENATE($B25,$C25,'ESVD - Land Use &amp; Climate Match'!$A$32)&amp;"5",'ESVD - SUMMARY TABLE'!$E$2:$G$294,3,FALSE),0),0))))),0)</f>
        <v>0</v>
      </c>
      <c r="W25" s="122">
        <f>'Biodiversity Assessment'!CX40</f>
        <v>0</v>
      </c>
      <c r="X25" s="122">
        <f>IFERROR(IF(W25&gt;0,W25*'Biodiversity Assessment'!$U40,IF(V25&gt;0,V25*'Biodiversity Assessment'!$U40,U25*'Biodiversity Assessment'!$U40)),0)</f>
        <v>0</v>
      </c>
      <c r="Y25" s="454"/>
      <c r="Z25" s="123">
        <f>IFERROR(IF(S25='ESVD - Land Use &amp; Climate Match'!$A$1,IF('Biodiversity Assessment'!$J$102&gt;0,'Biodiversity Assessment'!$J$102*VLOOKUP('ESVD - Social Value of Bio'!T25&amp;"1",'ESVD - SUMMARY TABLE'!$E$2:$G$294,3,),0)+IF('Biodiversity Assessment'!$J$103&gt;0,'Biodiversity Assessment'!$J$103*VLOOKUP('ESVD - Social Value of Bio'!T25&amp;"2",'ESVD - SUMMARY TABLE'!$E$2:$G$294,3,),0)+IF('Biodiversity Assessment'!$J$104&gt;0,'Biodiversity Assessment'!$J$104*VLOOKUP('ESVD - Social Value of Bio'!T25&amp;"3",'ESVD - SUMMARY TABLE'!$E$2:$G$294,3,),0)+IF('Biodiversity Assessment'!$J$105&gt;0,'Biodiversity Assessment'!$J$105*VLOOKUP('ESVD - Social Value of Bio'!T25&amp;"4",'ESVD - SUMMARY TABLE'!$E$2:$G$294,3,),0),IF(S25='ESVD - Land Use &amp; Climate Match'!$A$11,IF('Biodiversity Assessment'!$Z$102&gt;0,'Biodiversity Assessment'!$Z$102*VLOOKUP('ESVD - Social Value of Bio'!T25&amp;"1",'ESVD - SUMMARY TABLE'!$E$2:$G$294,3,FALSE),0)+IF('Biodiversity Assessment'!$Z$103&gt;0,'Biodiversity Assessment'!$Z$103*VLOOKUP('ESVD - Social Value of Bio'!T25&amp;"2",'ESVD - SUMMARY TABLE'!$E$2:$G$294,3,FALSE),0)+IF('Biodiversity Assessment'!$Z$104&gt;0,'Biodiversity Assessment'!$Z$104*VLOOKUP('ESVD - Social Value of Bio'!T25&amp;"3",'ESVD - SUMMARY TABLE'!$E$2:$G$294,3,FALSE),0)+IF('Biodiversity Assessment'!$Z$105&gt;0,'Biodiversity Assessment'!$Z$105*VLOOKUP('ESVD - Social Value of Bio'!T25&amp;"4",'ESVD - SUMMARY TABLE'!$E$2:$G$294,3,FALSE),0),IF(S25='ESVD - Land Use &amp; Climate Match'!$A$32,IF('Biodiversity Assessment'!$BD$102&gt;0,'Biodiversity Assessment'!$BD$102*VLOOKUP('ESVD - Social Value of Bio'!T25&amp;"1",'ESVD - SUMMARY TABLE'!$E$2:$G$294,3,FALSE),0)+IF('Biodiversity Assessment'!$BD$103&gt;0,'Biodiversity Assessment'!$BD$103*VLOOKUP('ESVD - Social Value of Bio'!T25&amp;"2",'ESVD - SUMMARY TABLE'!$E$2:$G$294,3,FALSE),0)+IF('Biodiversity Assessment'!$BD$104&gt;0,'Biodiversity Assessment'!$BD$104*VLOOKUP('ESVD - Social Value of Bio'!T25&amp;"3",'ESVD - SUMMARY TABLE'!$E$2:$G$294,3,FALSE),0)+IF('Biodiversity Assessment'!$BD$105&gt;0,'Biodiversity Assessment'!$BD$105*VLOOKUP('ESVD - Social Value of Bio'!T25&amp;"4",'ESVD - SUMMARY TABLE'!$E$2:$G$294,3,FALSE),0)+IF('Biodiversity Assessment'!$BD$106&gt;0,'Biodiversity Assessment'!$BD$106*VLOOKUP('ESVD - Social Value of Bio'!T25&amp;"5",'ESVD - SUMMARY TABLE'!$E$2:$G$294,3,FALSE),0),VLOOKUP('ESVD - Social Value of Bio'!T25&amp;"1",'ESVD - SUMMARY TABLE'!$E$2:$G$294,3,FALSE)))),0)</f>
        <v>0</v>
      </c>
      <c r="AA25" s="123">
        <f>IFERROR(IF(S25='ESVD - Land Use &amp; Climate Match'!$A$1,IF(SUM('Biodiversity Assessment'!$O$102:$P$105)=SUM('Biodiversity Assessment'!$J$102:$M$105),IF('Biodiversity Assessment'!$O$102&gt;0,'Biodiversity Assessment'!$O$102*VLOOKUP('ESVD - Social Value of Bio'!T25&amp;"1",'ESVD - SUMMARY TABLE'!$E$2:$G$294,3,),0)+IF('Biodiversity Assessment'!$O$103&gt;0,'Biodiversity Assessment'!$O$103*VLOOKUP('ESVD - Social Value of Bio'!T25&amp;"2",'ESVD - SUMMARY TABLE'!$E$2:$G$294,3,),0)+IF('Biodiversity Assessment'!$O$104&gt;0,'Biodiversity Assessment'!$O$104*VLOOKUP('ESVD - Social Value of Bio'!T25&amp;"3",'ESVD - SUMMARY TABLE'!$E$2:$G$294,3,),0)+IF('Biodiversity Assessment'!$O$105&gt;0,'Biodiversity Assessment'!$O$105*VLOOKUP('ESVD - Social Value of Bio'!T25&amp;"4",'ESVD - SUMMARY TABLE'!$E$2:$G$294,3,),0),0),IF(S25='ESVD - Land Use &amp; Climate Match'!$A$11,IF(SUM('Biodiversity Assessment'!$AH$102:$AN$105)=SUM('Biodiversity Assessment'!$Z$102:$AF$105),IF('Biodiversity Assessment'!$AH$102&gt;0,'Biodiversity Assessment'!$AH$102*VLOOKUP('ESVD - Social Value of Bio'!T25&amp;"1",'ESVD - SUMMARY TABLE'!$E$2:$G$294,3,FALSE),0)+IF('Biodiversity Assessment'!$AH$103&gt;0,'Biodiversity Assessment'!$AH$103*VLOOKUP('ESVD - Social Value of Bio'!T25&amp;"2",'ESVD - SUMMARY TABLE'!$E$2:$G$294,3,FALSE),0)+IF('Biodiversity Assessment'!$AH$104&gt;0,'Biodiversity Assessment'!$AH$104*VLOOKUP('ESVD - Social Value of Bio'!T25&amp;"3",'ESVD - SUMMARY TABLE'!$E$2:$G$294,3,FALSE),0)+IF('Biodiversity Assessment'!$AH$105&gt;0,'Biodiversity Assessment'!$AH$105*VLOOKUP('ESVD - Social Value of Bio'!T25&amp;"4",'ESVD - SUMMARY TABLE'!$E$2:$G$294,3,FALSE),0),0),IF(S25='ESVD - Land Use &amp; Climate Match'!$A$32,IF(SUM('Biodiversity Assessment'!$BF$102:$BF$106)=SUM('Biodiversity Assessment'!$BD$102:$BD$106),IF('Biodiversity Assessment'!$BF$102&gt;0,'Biodiversity Assessment'!$BF$102*VLOOKUP('ESVD - Social Value of Bio'!T25&amp;"1",'ESVD - SUMMARY TABLE'!$E$2:$G$294,3,FALSE),0)+IF('Biodiversity Assessment'!$BF$103&gt;0,'Biodiversity Assessment'!$BF$103*VLOOKUP('ESVD - Social Value of Bio'!T25&amp;"2",'ESVD - SUMMARY TABLE'!$E$2:$G$294,3,FALSE),0)+IF('Biodiversity Assessment'!$BF$104&gt;0,'Biodiversity Assessment'!$BF$104*VLOOKUP('ESVD - Social Value of Bio'!T25&amp;"3",'ESVD - SUMMARY TABLE'!$E$2:$G$294,3,FALSE),0)+IF('Biodiversity Assessment'!$BF$105&gt;0,'Biodiversity Assessment'!$BF$105*VLOOKUP('ESVD - Social Value of Bio'!T25&amp;"4",'ESVD - SUMMARY TABLE'!$E$2:$G$294,3,FALSE),0)+IF('Biodiversity Assessment'!$BF$106&gt;0,'Biodiversity Assessment'!$BF$106*VLOOKUP('ESVD - Social Value of Bio'!T25&amp;"5",'ESVD - SUMMARY TABLE'!$E$2:$G$294,3,FALSE),0),0),VLOOKUP('ESVD - Social Value of Bio'!T25&amp;"1",'ESVD - SUMMARY TABLE'!$E$2:$G$294,3,FALSE)))),0)</f>
        <v>0</v>
      </c>
      <c r="AB25" s="123">
        <f>'Biodiversity Assessment'!CX40</f>
        <v>0</v>
      </c>
      <c r="AC25" s="124">
        <f>IFERROR(IF(AB25&gt;0,AB25*'Biodiversity Assessment'!U40,IF(AA25&gt;0,AA25*'Biodiversity Assessment'!U40,Z25*'Biodiversity Assessment'!U40)),0)</f>
        <v>0</v>
      </c>
      <c r="AD25" s="456"/>
      <c r="AG25" s="453"/>
    </row>
    <row r="26" spans="1:33" s="110" customFormat="1" ht="10.5" x14ac:dyDescent="0.25">
      <c r="A26" s="107" t="s">
        <v>401</v>
      </c>
      <c r="B26" s="108" t="str">
        <f>IF(Start!$D$28&gt;1000,CONCATENATE(Start!$D$20," Mountain"),Start!$D$20)</f>
        <v>Please select</v>
      </c>
      <c r="C26" s="108" t="str">
        <f>Start!$D$24</f>
        <v>Please select</v>
      </c>
      <c r="D26" s="109" t="str">
        <f>'Biodiversity Assessment'!G41</f>
        <v>Select land use</v>
      </c>
      <c r="E26" s="109" t="str">
        <f>IF(OR(D26=Data!$E$4,D26=Data!$E$5,D26=Data!$E$6,D26=Data!$E$7),Data!$E$4,IF(OR(D26=Data!$E$9,D26=Data!$E$10,D26=Data!$E$11),Data!$E$9,IF(OR(D26=Data!$E$12,D26=Data!$E$13,D26=Data!$E$14),"Cropland",IF(OR(D26=Data!$E$16,D26=Data!$E$17),"Agroforestry",D26))))</f>
        <v>Select land use</v>
      </c>
      <c r="F26" s="109" t="str">
        <f t="shared" si="0"/>
        <v>Please selectPlease selectSelect land use</v>
      </c>
      <c r="G26" s="122">
        <f>IFERROR(IF(E26='ESVD - Land Use &amp; Climate Match'!$A$1,IF('Biodiversity Assessment'!$J$102&gt;0,'Biodiversity Assessment'!$J$102*VLOOKUP('ESVD - Social Value of Bio'!F26&amp;"1",'ESVD - SUMMARY TABLE'!$E$2:$G$294,3,),0)+IF('Biodiversity Assessment'!$J$103&gt;0,'Biodiversity Assessment'!$J$103*VLOOKUP('ESVD - Social Value of Bio'!F26&amp;"2",'ESVD - SUMMARY TABLE'!$E$2:$G$294,3,),0)+IF('Biodiversity Assessment'!$J$104&gt;0,'Biodiversity Assessment'!$J$104*VLOOKUP('ESVD - Social Value of Bio'!F26&amp;"3",'ESVD - SUMMARY TABLE'!$E$2:$G$294,3,),0)+IF('Biodiversity Assessment'!$J$105&gt;0,'Biodiversity Assessment'!$J$105*VLOOKUP('ESVD - Social Value of Bio'!F26&amp;"4",'ESVD - SUMMARY TABLE'!$E$2:$G$294,3,),0),IF(E26='ESVD - Land Use &amp; Climate Match'!$A$11,IF('Biodiversity Assessment'!$Z$102&gt;0,'Biodiversity Assessment'!$Z$102*VLOOKUP('ESVD - Social Value of Bio'!F26&amp;"1",'ESVD - SUMMARY TABLE'!$E$2:$G$294,3,FALSE),0)+IF('Biodiversity Assessment'!$Z$103&gt;0,'Biodiversity Assessment'!$Z$103*VLOOKUP('ESVD - Social Value of Bio'!F26&amp;"2",'ESVD - SUMMARY TABLE'!$E$2:$G$294,3,FALSE),0)+IF('Biodiversity Assessment'!$Z$104&gt;0,'Biodiversity Assessment'!$Z$104*VLOOKUP('ESVD - Social Value of Bio'!F26&amp;"3",'ESVD - SUMMARY TABLE'!$E$2:$G$294,3,FALSE),0)+IF('Biodiversity Assessment'!$Z$105&gt;0,'Biodiversity Assessment'!$Z$105*VLOOKUP('ESVD - Social Value of Bio'!F26&amp;"4",'ESVD - SUMMARY TABLE'!$E$2:$G$294,3,FALSE),0),IF(E26='ESVD - Land Use &amp; Climate Match'!$A$32,IF('Biodiversity Assessment'!$BD$102&gt;0,'Biodiversity Assessment'!$BD$102*VLOOKUP('ESVD - Social Value of Bio'!F26&amp;"1",'ESVD - SUMMARY TABLE'!$E$2:$G$294,3,FALSE),0)+IF('Biodiversity Assessment'!$BD$103&gt;0,'Biodiversity Assessment'!$BD$103*VLOOKUP('ESVD - Social Value of Bio'!F26&amp;"2",'ESVD - SUMMARY TABLE'!$E$2:$G$294,3,FALSE),0)+IF('Biodiversity Assessment'!$BD$104&gt;0,'Biodiversity Assessment'!$BD$104*VLOOKUP('ESVD - Social Value of Bio'!F26&amp;"3",'ESVD - SUMMARY TABLE'!$E$2:$G$294,3,FALSE),0)+IF('Biodiversity Assessment'!$BD$105&gt;0,'Biodiversity Assessment'!$BD$105*VLOOKUP('ESVD - Social Value of Bio'!F26&amp;"4",'ESVD - SUMMARY TABLE'!$E$2:$G$294,3,FALSE),0)+IF('Biodiversity Assessment'!$BD$106&gt;0,'Biodiversity Assessment'!$BD$106*VLOOKUP('ESVD - Social Value of Bio'!F26&amp;"5",'ESVD - SUMMARY TABLE'!$E$2:$G$294,3,FALSE),0),AVERAGE(IF('Biodiversity Assessment'!$J$102&gt;0,'Biodiversity Assessment'!$J$102*VLOOKUP(CONCATENATE($B26,$C26,'ESVD - Land Use &amp; Climate Match'!$A$1)&amp;"1",'ESVD - SUMMARY TABLE'!$E$2:$G$294,3,),0)+IF('Biodiversity Assessment'!$J$103&gt;0,'Biodiversity Assessment'!$J$103*VLOOKUP(CONCATENATE($B26,$C26,'ESVD - Land Use &amp; Climate Match'!$A$1)&amp;"2",'ESVD - SUMMARY TABLE'!$E$2:$G$294,3,),0)+IF('Biodiversity Assessment'!$J$104&gt;0,'Biodiversity Assessment'!$J$104*VLOOKUP(CONCATENATE($B26,$C26,'ESVD - Land Use &amp; Climate Match'!$A$1)&amp;"3",'ESVD - SUMMARY TABLE'!$E$2:$G$294,3,),0)+IF('Biodiversity Assessment'!$J$105&gt;0,'Biodiversity Assessment'!$J$105*VLOOKUP(CONCATENATE($B26,$C26,'ESVD - Land Use &amp; Climate Match'!$A$1)&amp;"4",'ESVD - SUMMARY TABLE'!$E$2:$G$294,3,),0),IF('Biodiversity Assessment'!$Z$102&gt;0,'Biodiversity Assessment'!$Z$102*VLOOKUP(CONCATENATE($B26,$C26,'ESVD - Land Use &amp; Climate Match'!$A$11)&amp;"1",'ESVD - SUMMARY TABLE'!$E$2:$G$294,3,FALSE),0)+IF('Biodiversity Assessment'!$Z$103&gt;0,'Biodiversity Assessment'!$Z$103*VLOOKUP(CONCATENATE($B26,$C26,'ESVD - Land Use &amp; Climate Match'!$A$11)&amp;"2",'ESVD - SUMMARY TABLE'!$E$2:$G$294,3,FALSE),0)+IF('Biodiversity Assessment'!$Z$104&gt;0,'Biodiversity Assessment'!$Z$104*VLOOKUP(CONCATENATE($B26,$C26,'ESVD - Land Use &amp; Climate Match'!$A$11)&amp;"3",'ESVD - SUMMARY TABLE'!$E$2:$G$294,3,FALSE),0)+IF('Biodiversity Assessment'!$Z$105&gt;0,'Biodiversity Assessment'!$Z$105*VLOOKUP(CONCATENATE($B26,$C26,'ESVD - Land Use &amp; Climate Match'!$A$11)&amp;"4",'ESVD - SUMMARY TABLE'!$E$2:$G$294,3,FALSE),0),IF('Biodiversity Assessment'!$BD$102&gt;0,'Biodiversity Assessment'!$BD$102*VLOOKUP(CONCATENATE($B26,$C26,'ESVD - Land Use &amp; Climate Match'!$A$32)&amp;"1",'ESVD - SUMMARY TABLE'!$E$2:$G$294,3,FALSE),0)+IF('Biodiversity Assessment'!$BD$103&gt;0,'Biodiversity Assessment'!$BD$103*VLOOKUP(CONCATENATE($B26,$C26,'ESVD - Land Use &amp; Climate Match'!$A$32)&amp;"2",'ESVD - SUMMARY TABLE'!$E$2:$G$294,3,FALSE),0)+IF('Biodiversity Assessment'!$BD$104&gt;0,'Biodiversity Assessment'!$BD$104*VLOOKUP(CONCATENATE($B26,$C26,'ESVD - Land Use &amp; Climate Match'!$A$32)&amp;"3",'ESVD - SUMMARY TABLE'!$E$2:$G$294,3,FALSE),0)+IF('Biodiversity Assessment'!$BD$105&gt;0,'Biodiversity Assessment'!$BD$105*VLOOKUP(CONCATENATE($B26,$C26,'ESVD - Land Use &amp; Climate Match'!$A$32)&amp;"4",'ESVD - SUMMARY TABLE'!$E$2:$G$294,3,FALSE),0)+IF('Biodiversity Assessment'!$BD$106&gt;0,'Biodiversity Assessment'!$BD$106*VLOOKUP(CONCATENATE($B26,$C26,'ESVD - Land Use &amp; Climate Match'!$A$32)&amp;"5",'ESVD - SUMMARY TABLE'!$E$2:$G$294,3,FALSE)))))),0)</f>
        <v>0</v>
      </c>
      <c r="H26" s="122">
        <f>IFERROR(IF(E26='ESVD - Land Use &amp; Climate Match'!$A$1,IF(SUM('Biodiversity Assessment'!$O$102:$P$105)=SUM('Biodiversity Assessment'!$J$102:$M$105),IF('Biodiversity Assessment'!$O$102&gt;0,'Biodiversity Assessment'!$O$102*VLOOKUP('ESVD - Social Value of Bio'!F26&amp;"1",'ESVD - SUMMARY TABLE'!$E$2:$G$294,3,),0)+IF('Biodiversity Assessment'!$O$103&gt;0,'Biodiversity Assessment'!$O$103*VLOOKUP('ESVD - Social Value of Bio'!F26&amp;"2",'ESVD - SUMMARY TABLE'!$E$2:$G$294,3,),0)+IF('Biodiversity Assessment'!$O$104&gt;0,'Biodiversity Assessment'!$O$104*VLOOKUP('ESVD - Social Value of Bio'!F26&amp;"3",'ESVD - SUMMARY TABLE'!$E$2:$G$294,3,),0)+IF('Biodiversity Assessment'!$O$105&gt;0,'Biodiversity Assessment'!$O$105*VLOOKUP('ESVD - Social Value of Bio'!F26&amp;"4",'ESVD - SUMMARY TABLE'!$E$2:$G$294,3,),0),0),IF(E26='ESVD - Land Use &amp; Climate Match'!$A$11,IF(SUM('Biodiversity Assessment'!$AH$102:$AN$105)=SUM('Biodiversity Assessment'!$Z$102:$AF$105),IF('Biodiversity Assessment'!$AH$102&gt;0,'Biodiversity Assessment'!$AH$102*VLOOKUP('ESVD - Social Value of Bio'!F26&amp;"1",'ESVD - SUMMARY TABLE'!$E$2:$G$294,3,FALSE),0)+IF('Biodiversity Assessment'!$AH$103&gt;0,'Biodiversity Assessment'!$AH$103*VLOOKUP('ESVD - Social Value of Bio'!F26&amp;"2",'ESVD - SUMMARY TABLE'!$E$2:$G$294,3,FALSE),0)+IF('Biodiversity Assessment'!$AH$104&gt;0,'Biodiversity Assessment'!$AH$104*VLOOKUP('ESVD - Social Value of Bio'!F26&amp;"3",'ESVD - SUMMARY TABLE'!$E$2:$G$294,3,FALSE),0)+IF('Biodiversity Assessment'!$AH$105&gt;0,'Biodiversity Assessment'!$AH$105*VLOOKUP('ESVD - Social Value of Bio'!F26&amp;"4",'ESVD - SUMMARY TABLE'!$E$2:$G$294,3,FALSE),0),0),IF(E26='ESVD - Land Use &amp; Climate Match'!$A$32,IF(SUM('Biodiversity Assessment'!$BF$102:$BF$106)=SUM('Biodiversity Assessment'!$BD$102:$BD$106),IF('Biodiversity Assessment'!$BF$102&gt;0,'Biodiversity Assessment'!$BF$102*VLOOKUP('ESVD - Social Value of Bio'!F26&amp;"1",'ESVD - SUMMARY TABLE'!$E$2:$G$294,3,FALSE),0)+IF('Biodiversity Assessment'!$BF$103&gt;0,'Biodiversity Assessment'!$BF$103*VLOOKUP('ESVD - Social Value of Bio'!F26&amp;"2",'ESVD - SUMMARY TABLE'!$E$2:$G$294,3,FALSE),0)+IF('Biodiversity Assessment'!$BF$104&gt;0,'Biodiversity Assessment'!$BF$104*VLOOKUP('ESVD - Social Value of Bio'!F26&amp;"3",'ESVD - SUMMARY TABLE'!$E$2:$G$294,3,FALSE),0)+IF('Biodiversity Assessment'!$BF$105&gt;0,'Biodiversity Assessment'!$BF$105*VLOOKUP('ESVD - Social Value of Bio'!F26&amp;"4",'ESVD - SUMMARY TABLE'!$E$2:$G$294,3,FALSE),0)+IF('Biodiversity Assessment'!$BF$106&gt;0,'Biodiversity Assessment'!$BF$106*VLOOKUP('ESVD - Social Value of Bio'!F26&amp;"5",'ESVD - SUMMARY TABLE'!$E$2:$G$294,3,FALSE),0),0),AVERAGE(IF(SUM('Biodiversity Assessment'!$O$102:$P$105)=SUM('Biodiversity Assessment'!$J$102:$M$105),IF('Biodiversity Assessment'!$O$102&gt;0,'Biodiversity Assessment'!$O$102*VLOOKUP(CONCATENATE($B26,$C26,'ESVD - Land Use &amp; Climate Match'!$A$1)&amp;"1",'ESVD - SUMMARY TABLE'!$E$2:$G$294,3,),0)+IF('Biodiversity Assessment'!$O$103&gt;0,'Biodiversity Assessment'!$O$103*VLOOKUP(CONCATENATE($B26,$C26,'ESVD - Land Use &amp; Climate Match'!$A$1)&amp;"2",'ESVD - SUMMARY TABLE'!$E$2:$G$294,3,),0)+IF('Biodiversity Assessment'!$O$104&gt;0,'Biodiversity Assessment'!$O$104*VLOOKUP(CONCATENATE($B26,$C26,'ESVD - Land Use &amp; Climate Match'!$A$1)&amp;"3",'ESVD - SUMMARY TABLE'!$E$2:$G$294,3,),0)+IF('Biodiversity Assessment'!$O$105&gt;0,'Biodiversity Assessment'!$O$105*VLOOKUP(CONCATENATE($B26,$C26,'ESVD - Land Use &amp; Climate Match'!$A$1)&amp;"4",'ESVD - SUMMARY TABLE'!$E$2:$G$294,3,),0),0),IF(SUM('Biodiversity Assessment'!$AH$102:$AN$105)=SUM('Biodiversity Assessment'!$Z$102:$AF$105),IF('Biodiversity Assessment'!$AH$102&gt;0,'Biodiversity Assessment'!$AH$102*VLOOKUP(CONCATENATE($B26,$C26,'ESVD - Land Use &amp; Climate Match'!$A$11)&amp;"1",'ESVD - SUMMARY TABLE'!$E$2:$G$294,3,FALSE),0)+IF('Biodiversity Assessment'!$AH$103&gt;0,'Biodiversity Assessment'!$AH$103*VLOOKUP(CONCATENATE($B26,$C26,'ESVD - Land Use &amp; Climate Match'!$A$11)&amp;"2",'ESVD - SUMMARY TABLE'!$E$2:$G$294,3,FALSE),0)+IF('Biodiversity Assessment'!$AH$104&gt;0,'Biodiversity Assessment'!$AH$104*VLOOKUP(CONCATENATE($B26,$C26,'ESVD - Land Use &amp; Climate Match'!$A$11)&amp;"3",'ESVD - SUMMARY TABLE'!$E$2:$G$294,3,FALSE),0)+IF('Biodiversity Assessment'!$AH$105&gt;0,'Biodiversity Assessment'!$AH$105*VLOOKUP(CONCATENATE($B26,$C26,'ESVD - Land Use &amp; Climate Match'!$A$11)&amp;"4",'ESVD - SUMMARY TABLE'!$E$2:$G$294,3,FALSE),0),0),IF(SUM('Biodiversity Assessment'!$BF$102:$BF$106)=SUM('Biodiversity Assessment'!$BD$102:$BD$106),IF('Biodiversity Assessment'!$BF$102&gt;0,'Biodiversity Assessment'!$BF$102*VLOOKUP(CONCATENATE($B26,$C26,'ESVD - Land Use &amp; Climate Match'!$A$32)&amp;"1",'ESVD - SUMMARY TABLE'!$E$2:$G$294,3,FALSE),0)+IF('Biodiversity Assessment'!$BF$103&gt;0,'Biodiversity Assessment'!$BF$103*VLOOKUP(CONCATENATE($B26,$C26,'ESVD - Land Use &amp; Climate Match'!$A$32)&amp;"2",'ESVD - SUMMARY TABLE'!$E$2:$G$294,3,FALSE),0)+IF('Biodiversity Assessment'!$BF$104&gt;0,'Biodiversity Assessment'!$BF$104*VLOOKUP(CONCATENATE($B26,$C26,'ESVD - Land Use &amp; Climate Match'!$A$32)&amp;"3",'ESVD - SUMMARY TABLE'!$E$2:$G$294,3,FALSE),0)+IF('Biodiversity Assessment'!$BF$105&gt;0,'Biodiversity Assessment'!$BF$105*VLOOKUP(CONCATENATE($B26,$C26,'ESVD - Land Use &amp; Climate Match'!$A$32)&amp;"4",'ESVD - SUMMARY TABLE'!$E$2:$G$294,3,FALSE),0)+IF('Biodiversity Assessment'!$BF$106&gt;0,'Biodiversity Assessment'!$BF$106*VLOOKUP(CONCATENATE($B26,$C26,'ESVD - Land Use &amp; Climate Match'!$A$32)&amp;"5",'ESVD - SUMMARY TABLE'!$E$2:$G$294,3,FALSE),0),0))))),0)</f>
        <v>0</v>
      </c>
      <c r="I26" s="122">
        <f>'Biodiversity Assessment'!CR41</f>
        <v>0</v>
      </c>
      <c r="J26" s="122">
        <f>IFERROR(IF(I26&gt;0,I26*'Biodiversity Assessment'!$M41,IF(H26&gt;0,H26*'Biodiversity Assessment'!$M41,G26*'Biodiversity Assessment'!$M41)),0)</f>
        <v>0</v>
      </c>
      <c r="K26" s="454"/>
      <c r="L26" s="123">
        <f>IFERROR(IF(E26='ESVD - Land Use &amp; Climate Match'!$A$1,IF('Biodiversity Assessment'!$J$102&gt;0,'Biodiversity Assessment'!$J$102*VLOOKUP('ESVD - Social Value of Bio'!F26&amp;"1",'ESVD - SUMMARY TABLE'!$E$2:$G$294,3,),0)+IF('Biodiversity Assessment'!$J$103&gt;0,'Biodiversity Assessment'!$J$103*VLOOKUP('ESVD - Social Value of Bio'!F26&amp;"2",'ESVD - SUMMARY TABLE'!$E$2:$G$294,3,),0)+IF('Biodiversity Assessment'!$J$104&gt;0,'Biodiversity Assessment'!$J$104*VLOOKUP('ESVD - Social Value of Bio'!F26&amp;"3",'ESVD - SUMMARY TABLE'!$E$2:$G$294,3,),0)+IF('Biodiversity Assessment'!$J$105&gt;0,'Biodiversity Assessment'!$J$105*VLOOKUP('ESVD - Social Value of Bio'!F26&amp;"4",'ESVD - SUMMARY TABLE'!$E$2:$G$294,3,),0),IF(E26='ESVD - Land Use &amp; Climate Match'!$A$11,IF('Biodiversity Assessment'!$Z$102&gt;0,'Biodiversity Assessment'!$Z$102*VLOOKUP('ESVD - Social Value of Bio'!F26&amp;"1",'ESVD - SUMMARY TABLE'!$E$2:$G$294,3,FALSE),0)+IF('Biodiversity Assessment'!$Z$103&gt;0,'Biodiversity Assessment'!$Z$103*VLOOKUP('ESVD - Social Value of Bio'!F26&amp;"2",'ESVD - SUMMARY TABLE'!$E$2:$G$294,3,FALSE),0)+IF('Biodiversity Assessment'!$Z$104&gt;0,'Biodiversity Assessment'!$Z$104*VLOOKUP('ESVD - Social Value of Bio'!F26&amp;"3",'ESVD - SUMMARY TABLE'!$E$2:$G$294,3,FALSE),0)+IF('Biodiversity Assessment'!$Z$105&gt;0,'Biodiversity Assessment'!$Z$105*VLOOKUP('ESVD - Social Value of Bio'!F26&amp;"4",'ESVD - SUMMARY TABLE'!$E$2:$G$294,3,FALSE),0),IF(E26='ESVD - Land Use &amp; Climate Match'!$A$32,IF('Biodiversity Assessment'!$BD$102&gt;0,'Biodiversity Assessment'!$BD$102*VLOOKUP('ESVD - Social Value of Bio'!F26&amp;"1",'ESVD - SUMMARY TABLE'!$E$2:$G$294,3,FALSE),0)+IF('Biodiversity Assessment'!$BD$103&gt;0,'Biodiversity Assessment'!$BD$103*VLOOKUP('ESVD - Social Value of Bio'!F26&amp;"2",'ESVD - SUMMARY TABLE'!$E$2:$G$294,3,FALSE),0)+IF('Biodiversity Assessment'!$BD$104&gt;0,'Biodiversity Assessment'!$BD$104*VLOOKUP('ESVD - Social Value of Bio'!F26&amp;"3",'ESVD - SUMMARY TABLE'!$E$2:$G$294,3,FALSE),0)+IF('Biodiversity Assessment'!$BD$105&gt;0,'Biodiversity Assessment'!$BD$105*VLOOKUP('ESVD - Social Value of Bio'!F26&amp;"4",'ESVD - SUMMARY TABLE'!$E$2:$G$294,3,FALSE),0)+IF('Biodiversity Assessment'!$BD$106&gt;0,'Biodiversity Assessment'!$BD$106*VLOOKUP('ESVD - Social Value of Bio'!F26&amp;"5",'ESVD - SUMMARY TABLE'!$E$2:$G$294,3,FALSE),0),VLOOKUP('ESVD - Social Value of Bio'!F26&amp;"1",'ESVD - SUMMARY TABLE'!$E$2:$G$294,3,FALSE)))),0)</f>
        <v>0</v>
      </c>
      <c r="M26" s="123">
        <f>IFERROR(IF(E26='ESVD - Land Use &amp; Climate Match'!$A$1,IF(SUM('Biodiversity Assessment'!$O$102:$P$105)=SUM('Biodiversity Assessment'!$J$102:$M$105),IF('Biodiversity Assessment'!$O$102&gt;0,'Biodiversity Assessment'!$O$102*VLOOKUP('ESVD - Social Value of Bio'!F26&amp;"1",'ESVD - SUMMARY TABLE'!$E$2:$G$294,3,),0)+IF('Biodiversity Assessment'!$O$103&gt;0,'Biodiversity Assessment'!$O$103*VLOOKUP('ESVD - Social Value of Bio'!F26&amp;"2",'ESVD - SUMMARY TABLE'!$E$2:$G$294,3,),0)+IF('Biodiversity Assessment'!$O$104&gt;0,'Biodiversity Assessment'!$O$104*VLOOKUP('ESVD - Social Value of Bio'!F26&amp;"3",'ESVD - SUMMARY TABLE'!$E$2:$G$294,3,),0)+IF('Biodiversity Assessment'!$O$105&gt;0,'Biodiversity Assessment'!$O$105*VLOOKUP('ESVD - Social Value of Bio'!F26&amp;"4",'ESVD - SUMMARY TABLE'!$E$2:$G$294,3,),0),0),IF(E26='ESVD - Land Use &amp; Climate Match'!$A$11,IF(SUM('Biodiversity Assessment'!$AH$102:$AN$105)=SUM('Biodiversity Assessment'!$Z$102:$AF$105),IF('Biodiversity Assessment'!$AH$102&gt;0,'Biodiversity Assessment'!$AH$102*VLOOKUP('ESVD - Social Value of Bio'!F26&amp;"1",'ESVD - SUMMARY TABLE'!$E$2:$G$294,3,FALSE),0)+IF('Biodiversity Assessment'!$AH$103&gt;0,'Biodiversity Assessment'!$AH$103*VLOOKUP('ESVD - Social Value of Bio'!F26&amp;"2",'ESVD - SUMMARY TABLE'!$E$2:$G$294,3,FALSE),0)+IF('Biodiversity Assessment'!$AH$104&gt;0,'Biodiversity Assessment'!$AH$104*VLOOKUP('ESVD - Social Value of Bio'!F26&amp;"3",'ESVD - SUMMARY TABLE'!$E$2:$G$294,3,FALSE),0)+IF('Biodiversity Assessment'!$AH$105&gt;0,'Biodiversity Assessment'!$AH$105*VLOOKUP('ESVD - Social Value of Bio'!F26&amp;"4",'ESVD - SUMMARY TABLE'!$E$2:$G$294,3,FALSE),0),0),IF(E26='ESVD - Land Use &amp; Climate Match'!$A$32,IF(SUM('Biodiversity Assessment'!$BF$102:$BF$106)=SUM('Biodiversity Assessment'!$BD$102:$BD$106),IF('Biodiversity Assessment'!$BF$102&gt;0,'Biodiversity Assessment'!$BF$102*VLOOKUP('ESVD - Social Value of Bio'!F26&amp;"1",'ESVD - SUMMARY TABLE'!$E$2:$G$294,3,FALSE),0)+IF('Biodiversity Assessment'!$BF$103&gt;0,'Biodiversity Assessment'!$BF$103*VLOOKUP('ESVD - Social Value of Bio'!F26&amp;"2",'ESVD - SUMMARY TABLE'!$E$2:$G$294,3,FALSE),0)+IF('Biodiversity Assessment'!$BF$104&gt;0,'Biodiversity Assessment'!$BF$104*VLOOKUP('ESVD - Social Value of Bio'!F26&amp;"3",'ESVD - SUMMARY TABLE'!$E$2:$G$294,3,FALSE),0)+IF('Biodiversity Assessment'!$BF$105&gt;0,'Biodiversity Assessment'!$BF$105*VLOOKUP('ESVD - Social Value of Bio'!F26&amp;"4",'ESVD - SUMMARY TABLE'!$E$2:$G$294,3,FALSE),0)+IF('Biodiversity Assessment'!$BF$106&gt;0,'Biodiversity Assessment'!$BF$106*VLOOKUP('ESVD - Social Value of Bio'!F26&amp;"5",'ESVD - SUMMARY TABLE'!$E$2:$G$294,3,FALSE),0),0),VLOOKUP('ESVD - Social Value of Bio'!F26&amp;"1",'ESVD - SUMMARY TABLE'!$E$2:$G$294,3,FALSE)))),0)</f>
        <v>0</v>
      </c>
      <c r="N26" s="123">
        <f>'Biodiversity Assessment'!CR41</f>
        <v>0</v>
      </c>
      <c r="O26" s="124">
        <f>IFERROR(IF(N26&gt;0,N26*'Biodiversity Assessment'!M41,IF(M26&gt;0,M26*'Biodiversity Assessment'!M41,L26*'Biodiversity Assessment'!M41)),0)</f>
        <v>0</v>
      </c>
      <c r="P26" s="456"/>
      <c r="R26" s="108" t="str">
        <f>'Biodiversity Assessment'!O41</f>
        <v>Select land use</v>
      </c>
      <c r="S26" s="109" t="str">
        <f>IF(OR(R26=Data!$E$4,R26=Data!$E$5,R26=Data!$E$6,R26=Data!$E$7),Data!$E$4,IF(OR(R26=Data!$E$9,R26=Data!$E$10,R26=Data!$E$11),Data!$E$9,IF(OR(R26=Data!$E$12,R26=Data!$E$13,R26=Data!$E$14),"Cropland",IF(OR(R26=Data!$E$16,R26=Data!$E$17),"Agroforestry",R26))))</f>
        <v>Select land use</v>
      </c>
      <c r="T26" s="109" t="str">
        <f t="shared" si="1"/>
        <v>Please selectPlease selectSelect land use</v>
      </c>
      <c r="U26" s="122">
        <f>IFERROR(IF(S26='ESVD - Land Use &amp; Climate Match'!$A$1,IF('Biodiversity Assessment'!$J$102&gt;0,'Biodiversity Assessment'!$J$102*VLOOKUP('ESVD - Social Value of Bio'!T26&amp;"1",'ESVD - SUMMARY TABLE'!$E$2:$G$294,3,),0)+IF('Biodiversity Assessment'!$J$103&gt;0,'Biodiversity Assessment'!$J$103*VLOOKUP('ESVD - Social Value of Bio'!T26&amp;"2",'ESVD - SUMMARY TABLE'!$E$2:$G$294,3,),0)+IF('Biodiversity Assessment'!$J$104&gt;0,'Biodiversity Assessment'!$J$104*VLOOKUP('ESVD - Social Value of Bio'!T26&amp;"3",'ESVD - SUMMARY TABLE'!$E$2:$G$294,3,),0)+IF('Biodiversity Assessment'!$J$105&gt;0,'Biodiversity Assessment'!$J$105*VLOOKUP('ESVD - Social Value of Bio'!T26&amp;"4",'ESVD - SUMMARY TABLE'!$E$2:$G$294,3,),0),IF(S26='ESVD - Land Use &amp; Climate Match'!$A$11,IF('Biodiversity Assessment'!$Z$102&gt;0,'Biodiversity Assessment'!$Z$102*VLOOKUP('ESVD - Social Value of Bio'!T26&amp;"1",'ESVD - SUMMARY TABLE'!$E$2:$G$294,3,FALSE),0)+IF('Biodiversity Assessment'!$Z$103&gt;0,'Biodiversity Assessment'!$Z$103*VLOOKUP('ESVD - Social Value of Bio'!T26&amp;"2",'ESVD - SUMMARY TABLE'!$E$2:$G$294,3,FALSE),0)+IF('Biodiversity Assessment'!$Z$104&gt;0,'Biodiversity Assessment'!$Z$104*VLOOKUP('ESVD - Social Value of Bio'!T26&amp;"3",'ESVD - SUMMARY TABLE'!$E$2:$G$294,3,FALSE),0)+IF('Biodiversity Assessment'!$Z$105&gt;0,'Biodiversity Assessment'!$Z$105*VLOOKUP('ESVD - Social Value of Bio'!T26&amp;"4",'ESVD - SUMMARY TABLE'!$E$2:$G$294,3,FALSE),0),IF(S26='ESVD - Land Use &amp; Climate Match'!$A$32,IF('Biodiversity Assessment'!$BD$102&gt;0,'Biodiversity Assessment'!$BD$102*VLOOKUP('ESVD - Social Value of Bio'!T26&amp;"1",'ESVD - SUMMARY TABLE'!$E$2:$G$294,3,FALSE),0)+IF('Biodiversity Assessment'!$BD$103&gt;0,'Biodiversity Assessment'!$BD$103*VLOOKUP('ESVD - Social Value of Bio'!T26&amp;"2",'ESVD - SUMMARY TABLE'!$E$2:$G$294,3,FALSE),0)+IF('Biodiversity Assessment'!$BD$104&gt;0,'Biodiversity Assessment'!$BD$104*VLOOKUP('ESVD - Social Value of Bio'!T26&amp;"3",'ESVD - SUMMARY TABLE'!$E$2:$G$294,3,FALSE),0)+IF('Biodiversity Assessment'!$BD$105&gt;0,'Biodiversity Assessment'!$BD$105*VLOOKUP('ESVD - Social Value of Bio'!T26&amp;"4",'ESVD - SUMMARY TABLE'!$E$2:$G$294,3,FALSE),0)+IF('Biodiversity Assessment'!$BD$106&gt;0,'Biodiversity Assessment'!$BD$106*VLOOKUP('ESVD - Social Value of Bio'!T26&amp;"5",'ESVD - SUMMARY TABLE'!$E$2:$G$294,3,FALSE),0),AVERAGE(IF('Biodiversity Assessment'!$J$102&gt;0,'Biodiversity Assessment'!$J$102*VLOOKUP(CONCATENATE(B26,C26,'ESVD - Land Use &amp; Climate Match'!$A$1)&amp;"1",'ESVD - SUMMARY TABLE'!$E$2:$G$294,3,),0)+IF('Biodiversity Assessment'!$J$103&gt;0,'Biodiversity Assessment'!$J$103*VLOOKUP(CONCATENATE(B26,C26,'ESVD - Land Use &amp; Climate Match'!$A$1)&amp;"2",'ESVD - SUMMARY TABLE'!$E$2:$G$294,3,),0)+IF('Biodiversity Assessment'!$J$104&gt;0,'Biodiversity Assessment'!$J$104*VLOOKUP(CONCATENATE(B26,C26,'ESVD - Land Use &amp; Climate Match'!$A$1)&amp;"3",'ESVD - SUMMARY TABLE'!$E$2:$G$294,3,),0)+IF('Biodiversity Assessment'!$J$105&gt;0,'Biodiversity Assessment'!$J$105*VLOOKUP(CONCATENATE(B26,C26,'ESVD - Land Use &amp; Climate Match'!$A$1)&amp;"4",'ESVD - SUMMARY TABLE'!$E$2:$G$294,3,),0),IF('Biodiversity Assessment'!$Z$102&gt;0,'Biodiversity Assessment'!$Z$102*VLOOKUP(CONCATENATE(B26,C26,'ESVD - Land Use &amp; Climate Match'!$A$11)&amp;"1",'ESVD - SUMMARY TABLE'!$E$2:$G$294,3,FALSE),0)+IF('Biodiversity Assessment'!$Z$103&gt;0,'Biodiversity Assessment'!$Z$103*VLOOKUP(CONCATENATE(B26,C26,'ESVD - Land Use &amp; Climate Match'!$A$11)&amp;"2",'ESVD - SUMMARY TABLE'!$E$2:$G$294,3,FALSE),0)+IF('Biodiversity Assessment'!$Z$104&gt;0,'Biodiversity Assessment'!$Z$104*VLOOKUP(CONCATENATE(B26,C26,'ESVD - Land Use &amp; Climate Match'!$A$11)&amp;"3",'ESVD - SUMMARY TABLE'!$E$2:$G$294,3,FALSE),0)+IF('Biodiversity Assessment'!$Z$105&gt;0,'Biodiversity Assessment'!$Z$105*VLOOKUP(CONCATENATE(B26,C26,'ESVD - Land Use &amp; Climate Match'!$A$11)&amp;"4",'ESVD - SUMMARY TABLE'!$E$2:$G$294,3,FALSE),0),IF('Biodiversity Assessment'!$BD$102&gt;0,'Biodiversity Assessment'!$BD$102*VLOOKUP(CONCATENATE(B26,C26,'ESVD - Land Use &amp; Climate Match'!$A$32)&amp;"1",'ESVD - SUMMARY TABLE'!$E$2:$G$294,3,FALSE),0)+IF('Biodiversity Assessment'!$BD$103&gt;0,'Biodiversity Assessment'!$BD$103*VLOOKUP(CONCATENATE(B26,C26,'ESVD - Land Use &amp; Climate Match'!$A$32)&amp;"2",'ESVD - SUMMARY TABLE'!$E$2:$G$294,3,FALSE),0)+IF('Biodiversity Assessment'!$BD$104&gt;0,'Biodiversity Assessment'!$BD$104*VLOOKUP(CONCATENATE(B26,C26,'ESVD - Land Use &amp; Climate Match'!$A$32)&amp;"3",'ESVD - SUMMARY TABLE'!$E$2:$G$294,3,FALSE),0)+IF('Biodiversity Assessment'!$BD$105&gt;0,'Biodiversity Assessment'!$BD$105*VLOOKUP(CONCATENATE(B26,C26,'ESVD - Land Use &amp; Climate Match'!$A$32)&amp;"4",'ESVD - SUMMARY TABLE'!$E$2:$G$294,3,FALSE),0)+IF('Biodiversity Assessment'!$BD$106&gt;0,'Biodiversity Assessment'!$BD$106*VLOOKUP(CONCATENATE(B26,C26,'ESVD - Land Use &amp; Climate Match'!$A$32)&amp;"5",'ESVD - SUMMARY TABLE'!$E$2:$G$294,3,FALSE)))))),0)</f>
        <v>0</v>
      </c>
      <c r="V26" s="122">
        <f>IFERROR(IF(S26='ESVD - Land Use &amp; Climate Match'!$A$1,IF(SUM('Biodiversity Assessment'!$O$102:$P$105)=SUM('Biodiversity Assessment'!$J$102:$M$105),IF('Biodiversity Assessment'!$O$102&gt;0,'Biodiversity Assessment'!$O$102*VLOOKUP('ESVD - Social Value of Bio'!T26&amp;"1",'ESVD - SUMMARY TABLE'!$E$2:$G$294,3,),0)+IF('Biodiversity Assessment'!$O$103&gt;0,'Biodiversity Assessment'!$O$103*VLOOKUP('ESVD - Social Value of Bio'!T26&amp;"2",'ESVD - SUMMARY TABLE'!$E$2:$G$294,3,),0)+IF('Biodiversity Assessment'!$O$104&gt;0,'Biodiversity Assessment'!$O$104*VLOOKUP('ESVD - Social Value of Bio'!T26&amp;"3",'ESVD - SUMMARY TABLE'!$E$2:$G$294,3,),0)+IF('Biodiversity Assessment'!$O$105&gt;0,'Biodiversity Assessment'!$O$105*VLOOKUP('ESVD - Social Value of Bio'!T26&amp;"4",'ESVD - SUMMARY TABLE'!$E$2:$G$294,3,),0),0),IF(S26='ESVD - Land Use &amp; Climate Match'!$A$11,IF(SUM('Biodiversity Assessment'!$AH$102:$AN$105)=SUM('Biodiversity Assessment'!$Z$102:$AF$105),IF('Biodiversity Assessment'!$AH$102&gt;0,'Biodiversity Assessment'!$AH$102*VLOOKUP('ESVD - Social Value of Bio'!T26&amp;"1",'ESVD - SUMMARY TABLE'!$E$2:$G$294,3,FALSE),0)+IF('Biodiversity Assessment'!$AH$103&gt;0,'Biodiversity Assessment'!$AH$103*VLOOKUP('ESVD - Social Value of Bio'!T26&amp;"2",'ESVD - SUMMARY TABLE'!$E$2:$G$294,3,FALSE),0)+IF('Biodiversity Assessment'!$AH$104&gt;0,'Biodiversity Assessment'!$AH$104*VLOOKUP('ESVD - Social Value of Bio'!T26&amp;"3",'ESVD - SUMMARY TABLE'!$E$2:$G$294,3,FALSE),0)+IF('Biodiversity Assessment'!$AH$105&gt;0,'Biodiversity Assessment'!$AH$105*VLOOKUP('ESVD - Social Value of Bio'!T26&amp;"4",'ESVD - SUMMARY TABLE'!$E$2:$G$294,3,FALSE),0),0),IF(S26='ESVD - Land Use &amp; Climate Match'!$A$32,IF(SUM('Biodiversity Assessment'!$BF$102:$BF$106)=SUM('Biodiversity Assessment'!$BD$102:$BD$106),IF('Biodiversity Assessment'!$BF$102&gt;0,'Biodiversity Assessment'!$BF$102*VLOOKUP('ESVD - Social Value of Bio'!T26&amp;"1",'ESVD - SUMMARY TABLE'!$E$2:$G$294,3,FALSE),0)+IF('Biodiversity Assessment'!$BF$103&gt;0,'Biodiversity Assessment'!$BF$103*VLOOKUP('ESVD - Social Value of Bio'!T26&amp;"2",'ESVD - SUMMARY TABLE'!$E$2:$G$294,3,FALSE),0)+IF('Biodiversity Assessment'!$BF$104&gt;0,'Biodiversity Assessment'!$BF$104*VLOOKUP('ESVD - Social Value of Bio'!T26&amp;"3",'ESVD - SUMMARY TABLE'!$E$2:$G$294,3,FALSE),0)+IF('Biodiversity Assessment'!$BF$105&gt;0,'Biodiversity Assessment'!$BF$105*VLOOKUP('ESVD - Social Value of Bio'!T26&amp;"4",'ESVD - SUMMARY TABLE'!$E$2:$G$294,3,FALSE),0)+IF('Biodiversity Assessment'!$BF$106&gt;0,'Biodiversity Assessment'!$BF$106*VLOOKUP('ESVD - Social Value of Bio'!T26&amp;"5",'ESVD - SUMMARY TABLE'!$E$2:$G$294,3,FALSE),0),0),AVERAGE(IF(SUM('Biodiversity Assessment'!$O$102:$P$105)=SUM('Biodiversity Assessment'!$J$102:$M$105),IF('Biodiversity Assessment'!$O$102&gt;0,'Biodiversity Assessment'!$O$102*VLOOKUP(CONCATENATE($B26,$C26,'ESVD - Land Use &amp; Climate Match'!$A$1)&amp;"1",'ESVD - SUMMARY TABLE'!$E$2:$G$294,3,),0)+IF('Biodiversity Assessment'!$O$103&gt;0,'Biodiversity Assessment'!$O$103*VLOOKUP(CONCATENATE($B26,$C26,'ESVD - Land Use &amp; Climate Match'!$A$1)&amp;"2",'ESVD - SUMMARY TABLE'!$E$2:$G$294,3,),0)+IF('Biodiversity Assessment'!$O$104&gt;0,'Biodiversity Assessment'!$O$104*VLOOKUP(CONCATENATE($B26,$C26,'ESVD - Land Use &amp; Climate Match'!$A$1)&amp;"3",'ESVD - SUMMARY TABLE'!$E$2:$G$294,3,),0)+IF('Biodiversity Assessment'!$O$105&gt;0,'Biodiversity Assessment'!$O$105*VLOOKUP(CONCATENATE($B26,$C26,'ESVD - Land Use &amp; Climate Match'!$A$1)&amp;"4",'ESVD - SUMMARY TABLE'!$E$2:$G$294,3,),0),0),IF(SUM('Biodiversity Assessment'!$AH$102:$AN$105)=SUM('Biodiversity Assessment'!$Z$102:$AF$105),IF('Biodiversity Assessment'!$AH$102&gt;0,'Biodiversity Assessment'!$AH$102*VLOOKUP(CONCATENATE($B26,$C26,'ESVD - Land Use &amp; Climate Match'!$A$11)&amp;"1",'ESVD - SUMMARY TABLE'!$E$2:$G$294,3,FALSE),0)+IF('Biodiversity Assessment'!$AH$103&gt;0,'Biodiversity Assessment'!$AH$103*VLOOKUP(CONCATENATE($B26,$C26,'ESVD - Land Use &amp; Climate Match'!$A$11)&amp;"2",'ESVD - SUMMARY TABLE'!$E$2:$G$294,3,FALSE),0)+IF('Biodiversity Assessment'!$AH$104&gt;0,'Biodiversity Assessment'!$AH$104*VLOOKUP(CONCATENATE($B26,$C26,'ESVD - Land Use &amp; Climate Match'!$A$11)&amp;"3",'ESVD - SUMMARY TABLE'!$E$2:$G$294,3,FALSE),0)+IF('Biodiversity Assessment'!$AH$105&gt;0,'Biodiversity Assessment'!$AH$105*VLOOKUP(CONCATENATE($B26,$C26,'ESVD - Land Use &amp; Climate Match'!$A$11)&amp;"4",'ESVD - SUMMARY TABLE'!$E$2:$G$294,3,FALSE),0),0),IF(SUM('Biodiversity Assessment'!$BF$102:$BF$106)=SUM('Biodiversity Assessment'!$BD$102:$BD$106),IF('Biodiversity Assessment'!$BF$102&gt;0,'Biodiversity Assessment'!$BF$102*VLOOKUP(CONCATENATE($B26,$C26,'ESVD - Land Use &amp; Climate Match'!$A$32)&amp;"1",'ESVD - SUMMARY TABLE'!$E$2:$G$294,3,FALSE),0)+IF('Biodiversity Assessment'!$BF$103&gt;0,'Biodiversity Assessment'!$BF$103*VLOOKUP(CONCATENATE($B26,$C26,'ESVD - Land Use &amp; Climate Match'!$A$32)&amp;"2",'ESVD - SUMMARY TABLE'!$E$2:$G$294,3,FALSE),0)+IF('Biodiversity Assessment'!$BF$104&gt;0,'Biodiversity Assessment'!$BF$104*VLOOKUP(CONCATENATE($B26,$C26,'ESVD - Land Use &amp; Climate Match'!$A$32)&amp;"3",'ESVD - SUMMARY TABLE'!$E$2:$G$294,3,FALSE),0)+IF('Biodiversity Assessment'!$BF$105&gt;0,'Biodiversity Assessment'!$BF$105*VLOOKUP(CONCATENATE($B26,$C26,'ESVD - Land Use &amp; Climate Match'!$A$32)&amp;"4",'ESVD - SUMMARY TABLE'!$E$2:$G$294,3,FALSE),0)+IF('Biodiversity Assessment'!$BF$106&gt;0,'Biodiversity Assessment'!$BF$106*VLOOKUP(CONCATENATE($B26,$C26,'ESVD - Land Use &amp; Climate Match'!$A$32)&amp;"5",'ESVD - SUMMARY TABLE'!$E$2:$G$294,3,FALSE),0),0))))),0)</f>
        <v>0</v>
      </c>
      <c r="W26" s="122">
        <f>'Biodiversity Assessment'!CX41</f>
        <v>0</v>
      </c>
      <c r="X26" s="122">
        <f>IFERROR(IF(W26&gt;0,W26*'Biodiversity Assessment'!$U41,IF(V26&gt;0,V26*'Biodiversity Assessment'!$U41,U26*'Biodiversity Assessment'!$U41)),0)</f>
        <v>0</v>
      </c>
      <c r="Y26" s="454"/>
      <c r="Z26" s="123">
        <f>IFERROR(IF(S26='ESVD - Land Use &amp; Climate Match'!$A$1,IF('Biodiversity Assessment'!$J$102&gt;0,'Biodiversity Assessment'!$J$102*VLOOKUP('ESVD - Social Value of Bio'!T26&amp;"1",'ESVD - SUMMARY TABLE'!$E$2:$G$294,3,),0)+IF('Biodiversity Assessment'!$J$103&gt;0,'Biodiversity Assessment'!$J$103*VLOOKUP('ESVD - Social Value of Bio'!T26&amp;"2",'ESVD - SUMMARY TABLE'!$E$2:$G$294,3,),0)+IF('Biodiversity Assessment'!$J$104&gt;0,'Biodiversity Assessment'!$J$104*VLOOKUP('ESVD - Social Value of Bio'!T26&amp;"3",'ESVD - SUMMARY TABLE'!$E$2:$G$294,3,),0)+IF('Biodiversity Assessment'!$J$105&gt;0,'Biodiversity Assessment'!$J$105*VLOOKUP('ESVD - Social Value of Bio'!T26&amp;"4",'ESVD - SUMMARY TABLE'!$E$2:$G$294,3,),0),IF(S26='ESVD - Land Use &amp; Climate Match'!$A$11,IF('Biodiversity Assessment'!$Z$102&gt;0,'Biodiversity Assessment'!$Z$102*VLOOKUP('ESVD - Social Value of Bio'!T26&amp;"1",'ESVD - SUMMARY TABLE'!$E$2:$G$294,3,FALSE),0)+IF('Biodiversity Assessment'!$Z$103&gt;0,'Biodiversity Assessment'!$Z$103*VLOOKUP('ESVD - Social Value of Bio'!T26&amp;"2",'ESVD - SUMMARY TABLE'!$E$2:$G$294,3,FALSE),0)+IF('Biodiversity Assessment'!$Z$104&gt;0,'Biodiversity Assessment'!$Z$104*VLOOKUP('ESVD - Social Value of Bio'!T26&amp;"3",'ESVD - SUMMARY TABLE'!$E$2:$G$294,3,FALSE),0)+IF('Biodiversity Assessment'!$Z$105&gt;0,'Biodiversity Assessment'!$Z$105*VLOOKUP('ESVD - Social Value of Bio'!T26&amp;"4",'ESVD - SUMMARY TABLE'!$E$2:$G$294,3,FALSE),0),IF(S26='ESVD - Land Use &amp; Climate Match'!$A$32,IF('Biodiversity Assessment'!$BD$102&gt;0,'Biodiversity Assessment'!$BD$102*VLOOKUP('ESVD - Social Value of Bio'!T26&amp;"1",'ESVD - SUMMARY TABLE'!$E$2:$G$294,3,FALSE),0)+IF('Biodiversity Assessment'!$BD$103&gt;0,'Biodiversity Assessment'!$BD$103*VLOOKUP('ESVD - Social Value of Bio'!T26&amp;"2",'ESVD - SUMMARY TABLE'!$E$2:$G$294,3,FALSE),0)+IF('Biodiversity Assessment'!$BD$104&gt;0,'Biodiversity Assessment'!$BD$104*VLOOKUP('ESVD - Social Value of Bio'!T26&amp;"3",'ESVD - SUMMARY TABLE'!$E$2:$G$294,3,FALSE),0)+IF('Biodiversity Assessment'!$BD$105&gt;0,'Biodiversity Assessment'!$BD$105*VLOOKUP('ESVD - Social Value of Bio'!T26&amp;"4",'ESVD - SUMMARY TABLE'!$E$2:$G$294,3,FALSE),0)+IF('Biodiversity Assessment'!$BD$106&gt;0,'Biodiversity Assessment'!$BD$106*VLOOKUP('ESVD - Social Value of Bio'!T26&amp;"5",'ESVD - SUMMARY TABLE'!$E$2:$G$294,3,FALSE),0),VLOOKUP('ESVD - Social Value of Bio'!T26&amp;"1",'ESVD - SUMMARY TABLE'!$E$2:$G$294,3,FALSE)))),0)</f>
        <v>0</v>
      </c>
      <c r="AA26" s="123">
        <f>IFERROR(IF(S26='ESVD - Land Use &amp; Climate Match'!$A$1,IF(SUM('Biodiversity Assessment'!$O$102:$P$105)=SUM('Biodiversity Assessment'!$J$102:$M$105),IF('Biodiversity Assessment'!$O$102&gt;0,'Biodiversity Assessment'!$O$102*VLOOKUP('ESVD - Social Value of Bio'!T26&amp;"1",'ESVD - SUMMARY TABLE'!$E$2:$G$294,3,),0)+IF('Biodiversity Assessment'!$O$103&gt;0,'Biodiversity Assessment'!$O$103*VLOOKUP('ESVD - Social Value of Bio'!T26&amp;"2",'ESVD - SUMMARY TABLE'!$E$2:$G$294,3,),0)+IF('Biodiversity Assessment'!$O$104&gt;0,'Biodiversity Assessment'!$O$104*VLOOKUP('ESVD - Social Value of Bio'!T26&amp;"3",'ESVD - SUMMARY TABLE'!$E$2:$G$294,3,),0)+IF('Biodiversity Assessment'!$O$105&gt;0,'Biodiversity Assessment'!$O$105*VLOOKUP('ESVD - Social Value of Bio'!T26&amp;"4",'ESVD - SUMMARY TABLE'!$E$2:$G$294,3,),0),0),IF(S26='ESVD - Land Use &amp; Climate Match'!$A$11,IF(SUM('Biodiversity Assessment'!$AH$102:$AN$105)=SUM('Biodiversity Assessment'!$Z$102:$AF$105),IF('Biodiversity Assessment'!$AH$102&gt;0,'Biodiversity Assessment'!$AH$102*VLOOKUP('ESVD - Social Value of Bio'!T26&amp;"1",'ESVD - SUMMARY TABLE'!$E$2:$G$294,3,FALSE),0)+IF('Biodiversity Assessment'!$AH$103&gt;0,'Biodiversity Assessment'!$AH$103*VLOOKUP('ESVD - Social Value of Bio'!T26&amp;"2",'ESVD - SUMMARY TABLE'!$E$2:$G$294,3,FALSE),0)+IF('Biodiversity Assessment'!$AH$104&gt;0,'Biodiversity Assessment'!$AH$104*VLOOKUP('ESVD - Social Value of Bio'!T26&amp;"3",'ESVD - SUMMARY TABLE'!$E$2:$G$294,3,FALSE),0)+IF('Biodiversity Assessment'!$AH$105&gt;0,'Biodiversity Assessment'!$AH$105*VLOOKUP('ESVD - Social Value of Bio'!T26&amp;"4",'ESVD - SUMMARY TABLE'!$E$2:$G$294,3,FALSE),0),0),IF(S26='ESVD - Land Use &amp; Climate Match'!$A$32,IF(SUM('Biodiversity Assessment'!$BF$102:$BF$106)=SUM('Biodiversity Assessment'!$BD$102:$BD$106),IF('Biodiversity Assessment'!$BF$102&gt;0,'Biodiversity Assessment'!$BF$102*VLOOKUP('ESVD - Social Value of Bio'!T26&amp;"1",'ESVD - SUMMARY TABLE'!$E$2:$G$294,3,FALSE),0)+IF('Biodiversity Assessment'!$BF$103&gt;0,'Biodiversity Assessment'!$BF$103*VLOOKUP('ESVD - Social Value of Bio'!T26&amp;"2",'ESVD - SUMMARY TABLE'!$E$2:$G$294,3,FALSE),0)+IF('Biodiversity Assessment'!$BF$104&gt;0,'Biodiversity Assessment'!$BF$104*VLOOKUP('ESVD - Social Value of Bio'!T26&amp;"3",'ESVD - SUMMARY TABLE'!$E$2:$G$294,3,FALSE),0)+IF('Biodiversity Assessment'!$BF$105&gt;0,'Biodiversity Assessment'!$BF$105*VLOOKUP('ESVD - Social Value of Bio'!T26&amp;"4",'ESVD - SUMMARY TABLE'!$E$2:$G$294,3,FALSE),0)+IF('Biodiversity Assessment'!$BF$106&gt;0,'Biodiversity Assessment'!$BF$106*VLOOKUP('ESVD - Social Value of Bio'!T26&amp;"5",'ESVD - SUMMARY TABLE'!$E$2:$G$294,3,FALSE),0),0),VLOOKUP('ESVD - Social Value of Bio'!T26&amp;"1",'ESVD - SUMMARY TABLE'!$E$2:$G$294,3,FALSE)))),0)</f>
        <v>0</v>
      </c>
      <c r="AB26" s="123">
        <f>'Biodiversity Assessment'!CX41</f>
        <v>0</v>
      </c>
      <c r="AC26" s="124">
        <f>IFERROR(IF(AB26&gt;0,AB26*'Biodiversity Assessment'!U41,IF(AA26&gt;0,AA26*'Biodiversity Assessment'!U41,Z26*'Biodiversity Assessment'!U41)),0)</f>
        <v>0</v>
      </c>
      <c r="AD26" s="456"/>
      <c r="AG26" s="453"/>
    </row>
    <row r="27" spans="1:33" s="110" customFormat="1" ht="10.5" x14ac:dyDescent="0.25">
      <c r="A27" s="107" t="s">
        <v>402</v>
      </c>
      <c r="B27" s="108" t="str">
        <f>IF(Start!$D$28&gt;1000,CONCATENATE(Start!$D$20," Mountain"),Start!$D$20)</f>
        <v>Please select</v>
      </c>
      <c r="C27" s="108" t="str">
        <f>Start!$D$24</f>
        <v>Please select</v>
      </c>
      <c r="D27" s="109" t="str">
        <f>'Biodiversity Assessment'!G42</f>
        <v>Select land use</v>
      </c>
      <c r="E27" s="109" t="str">
        <f>IF(OR(D27=Data!$E$4,D27=Data!$E$5,D27=Data!$E$6,D27=Data!$E$7),Data!$E$4,IF(OR(D27=Data!$E$9,D27=Data!$E$10,D27=Data!$E$11),Data!$E$9,IF(OR(D27=Data!$E$12,D27=Data!$E$13,D27=Data!$E$14),"Cropland",IF(OR(D27=Data!$E$16,D27=Data!$E$17),"Agroforestry",D27))))</f>
        <v>Select land use</v>
      </c>
      <c r="F27" s="109" t="str">
        <f t="shared" si="0"/>
        <v>Please selectPlease selectSelect land use</v>
      </c>
      <c r="G27" s="122">
        <f>IFERROR(IF(E27='ESVD - Land Use &amp; Climate Match'!$A$1,IF('Biodiversity Assessment'!$J$102&gt;0,'Biodiversity Assessment'!$J$102*VLOOKUP('ESVD - Social Value of Bio'!F27&amp;"1",'ESVD - SUMMARY TABLE'!$E$2:$G$294,3,),0)+IF('Biodiversity Assessment'!$J$103&gt;0,'Biodiversity Assessment'!$J$103*VLOOKUP('ESVD - Social Value of Bio'!F27&amp;"2",'ESVD - SUMMARY TABLE'!$E$2:$G$294,3,),0)+IF('Biodiversity Assessment'!$J$104&gt;0,'Biodiversity Assessment'!$J$104*VLOOKUP('ESVD - Social Value of Bio'!F27&amp;"3",'ESVD - SUMMARY TABLE'!$E$2:$G$294,3,),0)+IF('Biodiversity Assessment'!$J$105&gt;0,'Biodiversity Assessment'!$J$105*VLOOKUP('ESVD - Social Value of Bio'!F27&amp;"4",'ESVD - SUMMARY TABLE'!$E$2:$G$294,3,),0),IF(E27='ESVD - Land Use &amp; Climate Match'!$A$11,IF('Biodiversity Assessment'!$Z$102&gt;0,'Biodiversity Assessment'!$Z$102*VLOOKUP('ESVD - Social Value of Bio'!F27&amp;"1",'ESVD - SUMMARY TABLE'!$E$2:$G$294,3,FALSE),0)+IF('Biodiversity Assessment'!$Z$103&gt;0,'Biodiversity Assessment'!$Z$103*VLOOKUP('ESVD - Social Value of Bio'!F27&amp;"2",'ESVD - SUMMARY TABLE'!$E$2:$G$294,3,FALSE),0)+IF('Biodiversity Assessment'!$Z$104&gt;0,'Biodiversity Assessment'!$Z$104*VLOOKUP('ESVD - Social Value of Bio'!F27&amp;"3",'ESVD - SUMMARY TABLE'!$E$2:$G$294,3,FALSE),0)+IF('Biodiversity Assessment'!$Z$105&gt;0,'Biodiversity Assessment'!$Z$105*VLOOKUP('ESVD - Social Value of Bio'!F27&amp;"4",'ESVD - SUMMARY TABLE'!$E$2:$G$294,3,FALSE),0),IF(E27='ESVD - Land Use &amp; Climate Match'!$A$32,IF('Biodiversity Assessment'!$BD$102&gt;0,'Biodiversity Assessment'!$BD$102*VLOOKUP('ESVD - Social Value of Bio'!F27&amp;"1",'ESVD - SUMMARY TABLE'!$E$2:$G$294,3,FALSE),0)+IF('Biodiversity Assessment'!$BD$103&gt;0,'Biodiversity Assessment'!$BD$103*VLOOKUP('ESVD - Social Value of Bio'!F27&amp;"2",'ESVD - SUMMARY TABLE'!$E$2:$G$294,3,FALSE),0)+IF('Biodiversity Assessment'!$BD$104&gt;0,'Biodiversity Assessment'!$BD$104*VLOOKUP('ESVD - Social Value of Bio'!F27&amp;"3",'ESVD - SUMMARY TABLE'!$E$2:$G$294,3,FALSE),0)+IF('Biodiversity Assessment'!$BD$105&gt;0,'Biodiversity Assessment'!$BD$105*VLOOKUP('ESVD - Social Value of Bio'!F27&amp;"4",'ESVD - SUMMARY TABLE'!$E$2:$G$294,3,FALSE),0)+IF('Biodiversity Assessment'!$BD$106&gt;0,'Biodiversity Assessment'!$BD$106*VLOOKUP('ESVD - Social Value of Bio'!F27&amp;"5",'ESVD - SUMMARY TABLE'!$E$2:$G$294,3,FALSE),0),AVERAGE(IF('Biodiversity Assessment'!$J$102&gt;0,'Biodiversity Assessment'!$J$102*VLOOKUP(CONCATENATE($B27,$C27,'ESVD - Land Use &amp; Climate Match'!$A$1)&amp;"1",'ESVD - SUMMARY TABLE'!$E$2:$G$294,3,),0)+IF('Biodiversity Assessment'!$J$103&gt;0,'Biodiversity Assessment'!$J$103*VLOOKUP(CONCATENATE($B27,$C27,'ESVD - Land Use &amp; Climate Match'!$A$1)&amp;"2",'ESVD - SUMMARY TABLE'!$E$2:$G$294,3,),0)+IF('Biodiversity Assessment'!$J$104&gt;0,'Biodiversity Assessment'!$J$104*VLOOKUP(CONCATENATE($B27,$C27,'ESVD - Land Use &amp; Climate Match'!$A$1)&amp;"3",'ESVD - SUMMARY TABLE'!$E$2:$G$294,3,),0)+IF('Biodiversity Assessment'!$J$105&gt;0,'Biodiversity Assessment'!$J$105*VLOOKUP(CONCATENATE($B27,$C27,'ESVD - Land Use &amp; Climate Match'!$A$1)&amp;"4",'ESVD - SUMMARY TABLE'!$E$2:$G$294,3,),0),IF('Biodiversity Assessment'!$Z$102&gt;0,'Biodiversity Assessment'!$Z$102*VLOOKUP(CONCATENATE($B27,$C27,'ESVD - Land Use &amp; Climate Match'!$A$11)&amp;"1",'ESVD - SUMMARY TABLE'!$E$2:$G$294,3,FALSE),0)+IF('Biodiversity Assessment'!$Z$103&gt;0,'Biodiversity Assessment'!$Z$103*VLOOKUP(CONCATENATE($B27,$C27,'ESVD - Land Use &amp; Climate Match'!$A$11)&amp;"2",'ESVD - SUMMARY TABLE'!$E$2:$G$294,3,FALSE),0)+IF('Biodiversity Assessment'!$Z$104&gt;0,'Biodiversity Assessment'!$Z$104*VLOOKUP(CONCATENATE($B27,$C27,'ESVD - Land Use &amp; Climate Match'!$A$11)&amp;"3",'ESVD - SUMMARY TABLE'!$E$2:$G$294,3,FALSE),0)+IF('Biodiversity Assessment'!$Z$105&gt;0,'Biodiversity Assessment'!$Z$105*VLOOKUP(CONCATENATE($B27,$C27,'ESVD - Land Use &amp; Climate Match'!$A$11)&amp;"4",'ESVD - SUMMARY TABLE'!$E$2:$G$294,3,FALSE),0),IF('Biodiversity Assessment'!$BD$102&gt;0,'Biodiversity Assessment'!$BD$102*VLOOKUP(CONCATENATE($B27,$C27,'ESVD - Land Use &amp; Climate Match'!$A$32)&amp;"1",'ESVD - SUMMARY TABLE'!$E$2:$G$294,3,FALSE),0)+IF('Biodiversity Assessment'!$BD$103&gt;0,'Biodiversity Assessment'!$BD$103*VLOOKUP(CONCATENATE($B27,$C27,'ESVD - Land Use &amp; Climate Match'!$A$32)&amp;"2",'ESVD - SUMMARY TABLE'!$E$2:$G$294,3,FALSE),0)+IF('Biodiversity Assessment'!$BD$104&gt;0,'Biodiversity Assessment'!$BD$104*VLOOKUP(CONCATENATE($B27,$C27,'ESVD - Land Use &amp; Climate Match'!$A$32)&amp;"3",'ESVD - SUMMARY TABLE'!$E$2:$G$294,3,FALSE),0)+IF('Biodiversity Assessment'!$BD$105&gt;0,'Biodiversity Assessment'!$BD$105*VLOOKUP(CONCATENATE($B27,$C27,'ESVD - Land Use &amp; Climate Match'!$A$32)&amp;"4",'ESVD - SUMMARY TABLE'!$E$2:$G$294,3,FALSE),0)+IF('Biodiversity Assessment'!$BD$106&gt;0,'Biodiversity Assessment'!$BD$106*VLOOKUP(CONCATENATE($B27,$C27,'ESVD - Land Use &amp; Climate Match'!$A$32)&amp;"5",'ESVD - SUMMARY TABLE'!$E$2:$G$294,3,FALSE)))))),0)</f>
        <v>0</v>
      </c>
      <c r="H27" s="122">
        <f>IFERROR(IF(E27='ESVD - Land Use &amp; Climate Match'!$A$1,IF(SUM('Biodiversity Assessment'!$O$102:$P$105)=SUM('Biodiversity Assessment'!$J$102:$M$105),IF('Biodiversity Assessment'!$O$102&gt;0,'Biodiversity Assessment'!$O$102*VLOOKUP('ESVD - Social Value of Bio'!F27&amp;"1",'ESVD - SUMMARY TABLE'!$E$2:$G$294,3,),0)+IF('Biodiversity Assessment'!$O$103&gt;0,'Biodiversity Assessment'!$O$103*VLOOKUP('ESVD - Social Value of Bio'!F27&amp;"2",'ESVD - SUMMARY TABLE'!$E$2:$G$294,3,),0)+IF('Biodiversity Assessment'!$O$104&gt;0,'Biodiversity Assessment'!$O$104*VLOOKUP('ESVD - Social Value of Bio'!F27&amp;"3",'ESVD - SUMMARY TABLE'!$E$2:$G$294,3,),0)+IF('Biodiversity Assessment'!$O$105&gt;0,'Biodiversity Assessment'!$O$105*VLOOKUP('ESVD - Social Value of Bio'!F27&amp;"4",'ESVD - SUMMARY TABLE'!$E$2:$G$294,3,),0),0),IF(E27='ESVD - Land Use &amp; Climate Match'!$A$11,IF(SUM('Biodiversity Assessment'!$AH$102:$AN$105)=SUM('Biodiversity Assessment'!$Z$102:$AF$105),IF('Biodiversity Assessment'!$AH$102&gt;0,'Biodiversity Assessment'!$AH$102*VLOOKUP('ESVD - Social Value of Bio'!F27&amp;"1",'ESVD - SUMMARY TABLE'!$E$2:$G$294,3,FALSE),0)+IF('Biodiversity Assessment'!$AH$103&gt;0,'Biodiversity Assessment'!$AH$103*VLOOKUP('ESVD - Social Value of Bio'!F27&amp;"2",'ESVD - SUMMARY TABLE'!$E$2:$G$294,3,FALSE),0)+IF('Biodiversity Assessment'!$AH$104&gt;0,'Biodiversity Assessment'!$AH$104*VLOOKUP('ESVD - Social Value of Bio'!F27&amp;"3",'ESVD - SUMMARY TABLE'!$E$2:$G$294,3,FALSE),0)+IF('Biodiversity Assessment'!$AH$105&gt;0,'Biodiversity Assessment'!$AH$105*VLOOKUP('ESVD - Social Value of Bio'!F27&amp;"4",'ESVD - SUMMARY TABLE'!$E$2:$G$294,3,FALSE),0),0),IF(E27='ESVD - Land Use &amp; Climate Match'!$A$32,IF(SUM('Biodiversity Assessment'!$BF$102:$BF$106)=SUM('Biodiversity Assessment'!$BD$102:$BD$106),IF('Biodiversity Assessment'!$BF$102&gt;0,'Biodiversity Assessment'!$BF$102*VLOOKUP('ESVD - Social Value of Bio'!F27&amp;"1",'ESVD - SUMMARY TABLE'!$E$2:$G$294,3,FALSE),0)+IF('Biodiversity Assessment'!$BF$103&gt;0,'Biodiversity Assessment'!$BF$103*VLOOKUP('ESVD - Social Value of Bio'!F27&amp;"2",'ESVD - SUMMARY TABLE'!$E$2:$G$294,3,FALSE),0)+IF('Biodiversity Assessment'!$BF$104&gt;0,'Biodiversity Assessment'!$BF$104*VLOOKUP('ESVD - Social Value of Bio'!F27&amp;"3",'ESVD - SUMMARY TABLE'!$E$2:$G$294,3,FALSE),0)+IF('Biodiversity Assessment'!$BF$105&gt;0,'Biodiversity Assessment'!$BF$105*VLOOKUP('ESVD - Social Value of Bio'!F27&amp;"4",'ESVD - SUMMARY TABLE'!$E$2:$G$294,3,FALSE),0)+IF('Biodiversity Assessment'!$BF$106&gt;0,'Biodiversity Assessment'!$BF$106*VLOOKUP('ESVD - Social Value of Bio'!F27&amp;"5",'ESVD - SUMMARY TABLE'!$E$2:$G$294,3,FALSE),0),0),AVERAGE(IF(SUM('Biodiversity Assessment'!$O$102:$P$105)=SUM('Biodiversity Assessment'!$J$102:$M$105),IF('Biodiversity Assessment'!$O$102&gt;0,'Biodiversity Assessment'!$O$102*VLOOKUP(CONCATENATE($B27,$C27,'ESVD - Land Use &amp; Climate Match'!$A$1)&amp;"1",'ESVD - SUMMARY TABLE'!$E$2:$G$294,3,),0)+IF('Biodiversity Assessment'!$O$103&gt;0,'Biodiversity Assessment'!$O$103*VLOOKUP(CONCATENATE($B27,$C27,'ESVD - Land Use &amp; Climate Match'!$A$1)&amp;"2",'ESVD - SUMMARY TABLE'!$E$2:$G$294,3,),0)+IF('Biodiversity Assessment'!$O$104&gt;0,'Biodiversity Assessment'!$O$104*VLOOKUP(CONCATENATE($B27,$C27,'ESVD - Land Use &amp; Climate Match'!$A$1)&amp;"3",'ESVD - SUMMARY TABLE'!$E$2:$G$294,3,),0)+IF('Biodiversity Assessment'!$O$105&gt;0,'Biodiversity Assessment'!$O$105*VLOOKUP(CONCATENATE($B27,$C27,'ESVD - Land Use &amp; Climate Match'!$A$1)&amp;"4",'ESVD - SUMMARY TABLE'!$E$2:$G$294,3,),0),0),IF(SUM('Biodiversity Assessment'!$AH$102:$AN$105)=SUM('Biodiversity Assessment'!$Z$102:$AF$105),IF('Biodiversity Assessment'!$AH$102&gt;0,'Biodiversity Assessment'!$AH$102*VLOOKUP(CONCATENATE($B27,$C27,'ESVD - Land Use &amp; Climate Match'!$A$11)&amp;"1",'ESVD - SUMMARY TABLE'!$E$2:$G$294,3,FALSE),0)+IF('Biodiversity Assessment'!$AH$103&gt;0,'Biodiversity Assessment'!$AH$103*VLOOKUP(CONCATENATE($B27,$C27,'ESVD - Land Use &amp; Climate Match'!$A$11)&amp;"2",'ESVD - SUMMARY TABLE'!$E$2:$G$294,3,FALSE),0)+IF('Biodiversity Assessment'!$AH$104&gt;0,'Biodiversity Assessment'!$AH$104*VLOOKUP(CONCATENATE($B27,$C27,'ESVD - Land Use &amp; Climate Match'!$A$11)&amp;"3",'ESVD - SUMMARY TABLE'!$E$2:$G$294,3,FALSE),0)+IF('Biodiversity Assessment'!$AH$105&gt;0,'Biodiversity Assessment'!$AH$105*VLOOKUP(CONCATENATE($B27,$C27,'ESVD - Land Use &amp; Climate Match'!$A$11)&amp;"4",'ESVD - SUMMARY TABLE'!$E$2:$G$294,3,FALSE),0),0),IF(SUM('Biodiversity Assessment'!$BF$102:$BF$106)=SUM('Biodiversity Assessment'!$BD$102:$BD$106),IF('Biodiversity Assessment'!$BF$102&gt;0,'Biodiversity Assessment'!$BF$102*VLOOKUP(CONCATENATE($B27,$C27,'ESVD - Land Use &amp; Climate Match'!$A$32)&amp;"1",'ESVD - SUMMARY TABLE'!$E$2:$G$294,3,FALSE),0)+IF('Biodiversity Assessment'!$BF$103&gt;0,'Biodiversity Assessment'!$BF$103*VLOOKUP(CONCATENATE($B27,$C27,'ESVD - Land Use &amp; Climate Match'!$A$32)&amp;"2",'ESVD - SUMMARY TABLE'!$E$2:$G$294,3,FALSE),0)+IF('Biodiversity Assessment'!$BF$104&gt;0,'Biodiversity Assessment'!$BF$104*VLOOKUP(CONCATENATE($B27,$C27,'ESVD - Land Use &amp; Climate Match'!$A$32)&amp;"3",'ESVD - SUMMARY TABLE'!$E$2:$G$294,3,FALSE),0)+IF('Biodiversity Assessment'!$BF$105&gt;0,'Biodiversity Assessment'!$BF$105*VLOOKUP(CONCATENATE($B27,$C27,'ESVD - Land Use &amp; Climate Match'!$A$32)&amp;"4",'ESVD - SUMMARY TABLE'!$E$2:$G$294,3,FALSE),0)+IF('Biodiversity Assessment'!$BF$106&gt;0,'Biodiversity Assessment'!$BF$106*VLOOKUP(CONCATENATE($B27,$C27,'ESVD - Land Use &amp; Climate Match'!$A$32)&amp;"5",'ESVD - SUMMARY TABLE'!$E$2:$G$294,3,FALSE),0),0))))),0)</f>
        <v>0</v>
      </c>
      <c r="I27" s="122">
        <f>'Biodiversity Assessment'!CR42</f>
        <v>0</v>
      </c>
      <c r="J27" s="122">
        <f>IFERROR(IF(I27&gt;0,I27*'Biodiversity Assessment'!$M42,IF(H27&gt;0,H27*'Biodiversity Assessment'!$M42,G27*'Biodiversity Assessment'!$M42)),0)</f>
        <v>0</v>
      </c>
      <c r="K27" s="454"/>
      <c r="L27" s="123">
        <f>IFERROR(IF(E27='ESVD - Land Use &amp; Climate Match'!$A$1,IF('Biodiversity Assessment'!$J$102&gt;0,'Biodiversity Assessment'!$J$102*VLOOKUP('ESVD - Social Value of Bio'!F27&amp;"1",'ESVD - SUMMARY TABLE'!$E$2:$G$294,3,),0)+IF('Biodiversity Assessment'!$J$103&gt;0,'Biodiversity Assessment'!$J$103*VLOOKUP('ESVD - Social Value of Bio'!F27&amp;"2",'ESVD - SUMMARY TABLE'!$E$2:$G$294,3,),0)+IF('Biodiversity Assessment'!$J$104&gt;0,'Biodiversity Assessment'!$J$104*VLOOKUP('ESVD - Social Value of Bio'!F27&amp;"3",'ESVD - SUMMARY TABLE'!$E$2:$G$294,3,),0)+IF('Biodiversity Assessment'!$J$105&gt;0,'Biodiversity Assessment'!$J$105*VLOOKUP('ESVD - Social Value of Bio'!F27&amp;"4",'ESVD - SUMMARY TABLE'!$E$2:$G$294,3,),0),IF(E27='ESVD - Land Use &amp; Climate Match'!$A$11,IF('Biodiversity Assessment'!$Z$102&gt;0,'Biodiversity Assessment'!$Z$102*VLOOKUP('ESVD - Social Value of Bio'!F27&amp;"1",'ESVD - SUMMARY TABLE'!$E$2:$G$294,3,FALSE),0)+IF('Biodiversity Assessment'!$Z$103&gt;0,'Biodiversity Assessment'!$Z$103*VLOOKUP('ESVD - Social Value of Bio'!F27&amp;"2",'ESVD - SUMMARY TABLE'!$E$2:$G$294,3,FALSE),0)+IF('Biodiversity Assessment'!$Z$104&gt;0,'Biodiversity Assessment'!$Z$104*VLOOKUP('ESVD - Social Value of Bio'!F27&amp;"3",'ESVD - SUMMARY TABLE'!$E$2:$G$294,3,FALSE),0)+IF('Biodiversity Assessment'!$Z$105&gt;0,'Biodiversity Assessment'!$Z$105*VLOOKUP('ESVD - Social Value of Bio'!F27&amp;"4",'ESVD - SUMMARY TABLE'!$E$2:$G$294,3,FALSE),0),IF(E27='ESVD - Land Use &amp; Climate Match'!$A$32,IF('Biodiversity Assessment'!$BD$102&gt;0,'Biodiversity Assessment'!$BD$102*VLOOKUP('ESVD - Social Value of Bio'!F27&amp;"1",'ESVD - SUMMARY TABLE'!$E$2:$G$294,3,FALSE),0)+IF('Biodiversity Assessment'!$BD$103&gt;0,'Biodiversity Assessment'!$BD$103*VLOOKUP('ESVD - Social Value of Bio'!F27&amp;"2",'ESVD - SUMMARY TABLE'!$E$2:$G$294,3,FALSE),0)+IF('Biodiversity Assessment'!$BD$104&gt;0,'Biodiversity Assessment'!$BD$104*VLOOKUP('ESVD - Social Value of Bio'!F27&amp;"3",'ESVD - SUMMARY TABLE'!$E$2:$G$294,3,FALSE),0)+IF('Biodiversity Assessment'!$BD$105&gt;0,'Biodiversity Assessment'!$BD$105*VLOOKUP('ESVD - Social Value of Bio'!F27&amp;"4",'ESVD - SUMMARY TABLE'!$E$2:$G$294,3,FALSE),0)+IF('Biodiversity Assessment'!$BD$106&gt;0,'Biodiversity Assessment'!$BD$106*VLOOKUP('ESVD - Social Value of Bio'!F27&amp;"5",'ESVD - SUMMARY TABLE'!$E$2:$G$294,3,FALSE),0),VLOOKUP('ESVD - Social Value of Bio'!F27&amp;"1",'ESVD - SUMMARY TABLE'!$E$2:$G$294,3,FALSE)))),0)</f>
        <v>0</v>
      </c>
      <c r="M27" s="123">
        <f>IFERROR(IF(E27='ESVD - Land Use &amp; Climate Match'!$A$1,IF(SUM('Biodiversity Assessment'!$O$102:$P$105)=SUM('Biodiversity Assessment'!$J$102:$M$105),IF('Biodiversity Assessment'!$O$102&gt;0,'Biodiversity Assessment'!$O$102*VLOOKUP('ESVD - Social Value of Bio'!F27&amp;"1",'ESVD - SUMMARY TABLE'!$E$2:$G$294,3,),0)+IF('Biodiversity Assessment'!$O$103&gt;0,'Biodiversity Assessment'!$O$103*VLOOKUP('ESVD - Social Value of Bio'!F27&amp;"2",'ESVD - SUMMARY TABLE'!$E$2:$G$294,3,),0)+IF('Biodiversity Assessment'!$O$104&gt;0,'Biodiversity Assessment'!$O$104*VLOOKUP('ESVD - Social Value of Bio'!F27&amp;"3",'ESVD - SUMMARY TABLE'!$E$2:$G$294,3,),0)+IF('Biodiversity Assessment'!$O$105&gt;0,'Biodiversity Assessment'!$O$105*VLOOKUP('ESVD - Social Value of Bio'!F27&amp;"4",'ESVD - SUMMARY TABLE'!$E$2:$G$294,3,),0),0),IF(E27='ESVD - Land Use &amp; Climate Match'!$A$11,IF(SUM('Biodiversity Assessment'!$AH$102:$AN$105)=SUM('Biodiversity Assessment'!$Z$102:$AF$105),IF('Biodiversity Assessment'!$AH$102&gt;0,'Biodiversity Assessment'!$AH$102*VLOOKUP('ESVD - Social Value of Bio'!F27&amp;"1",'ESVD - SUMMARY TABLE'!$E$2:$G$294,3,FALSE),0)+IF('Biodiversity Assessment'!$AH$103&gt;0,'Biodiversity Assessment'!$AH$103*VLOOKUP('ESVD - Social Value of Bio'!F27&amp;"2",'ESVD - SUMMARY TABLE'!$E$2:$G$294,3,FALSE),0)+IF('Biodiversity Assessment'!$AH$104&gt;0,'Biodiversity Assessment'!$AH$104*VLOOKUP('ESVD - Social Value of Bio'!F27&amp;"3",'ESVD - SUMMARY TABLE'!$E$2:$G$294,3,FALSE),0)+IF('Biodiversity Assessment'!$AH$105&gt;0,'Biodiversity Assessment'!$AH$105*VLOOKUP('ESVD - Social Value of Bio'!F27&amp;"4",'ESVD - SUMMARY TABLE'!$E$2:$G$294,3,FALSE),0),0),IF(E27='ESVD - Land Use &amp; Climate Match'!$A$32,IF(SUM('Biodiversity Assessment'!$BF$102:$BF$106)=SUM('Biodiversity Assessment'!$BD$102:$BD$106),IF('Biodiversity Assessment'!$BF$102&gt;0,'Biodiversity Assessment'!$BF$102*VLOOKUP('ESVD - Social Value of Bio'!F27&amp;"1",'ESVD - SUMMARY TABLE'!$E$2:$G$294,3,FALSE),0)+IF('Biodiversity Assessment'!$BF$103&gt;0,'Biodiversity Assessment'!$BF$103*VLOOKUP('ESVD - Social Value of Bio'!F27&amp;"2",'ESVD - SUMMARY TABLE'!$E$2:$G$294,3,FALSE),0)+IF('Biodiversity Assessment'!$BF$104&gt;0,'Biodiversity Assessment'!$BF$104*VLOOKUP('ESVD - Social Value of Bio'!F27&amp;"3",'ESVD - SUMMARY TABLE'!$E$2:$G$294,3,FALSE),0)+IF('Biodiversity Assessment'!$BF$105&gt;0,'Biodiversity Assessment'!$BF$105*VLOOKUP('ESVD - Social Value of Bio'!F27&amp;"4",'ESVD - SUMMARY TABLE'!$E$2:$G$294,3,FALSE),0)+IF('Biodiversity Assessment'!$BF$106&gt;0,'Biodiversity Assessment'!$BF$106*VLOOKUP('ESVD - Social Value of Bio'!F27&amp;"5",'ESVD - SUMMARY TABLE'!$E$2:$G$294,3,FALSE),0),0),VLOOKUP('ESVD - Social Value of Bio'!F27&amp;"1",'ESVD - SUMMARY TABLE'!$E$2:$G$294,3,FALSE)))),0)</f>
        <v>0</v>
      </c>
      <c r="N27" s="123">
        <f>'Biodiversity Assessment'!CR42</f>
        <v>0</v>
      </c>
      <c r="O27" s="124">
        <f>IFERROR(IF(N27&gt;0,N27*'Biodiversity Assessment'!M42,IF(M27&gt;0,M27*'Biodiversity Assessment'!M42,L27*'Biodiversity Assessment'!M42)),0)</f>
        <v>0</v>
      </c>
      <c r="P27" s="456"/>
      <c r="R27" s="108" t="str">
        <f>'Biodiversity Assessment'!O42</f>
        <v>Select land use</v>
      </c>
      <c r="S27" s="109" t="str">
        <f>IF(OR(R27=Data!$E$4,R27=Data!$E$5,R27=Data!$E$6,R27=Data!$E$7),Data!$E$4,IF(OR(R27=Data!$E$9,R27=Data!$E$10,R27=Data!$E$11),Data!$E$9,IF(OR(R27=Data!$E$12,R27=Data!$E$13,R27=Data!$E$14),"Cropland",IF(OR(R27=Data!$E$16,R27=Data!$E$17),"Agroforestry",R27))))</f>
        <v>Select land use</v>
      </c>
      <c r="T27" s="109" t="str">
        <f t="shared" si="1"/>
        <v>Please selectPlease selectSelect land use</v>
      </c>
      <c r="U27" s="122">
        <f>IFERROR(IF(S27='ESVD - Land Use &amp; Climate Match'!$A$1,IF('Biodiversity Assessment'!$J$102&gt;0,'Biodiversity Assessment'!$J$102*VLOOKUP('ESVD - Social Value of Bio'!T27&amp;"1",'ESVD - SUMMARY TABLE'!$E$2:$G$294,3,),0)+IF('Biodiversity Assessment'!$J$103&gt;0,'Biodiversity Assessment'!$J$103*VLOOKUP('ESVD - Social Value of Bio'!T27&amp;"2",'ESVD - SUMMARY TABLE'!$E$2:$G$294,3,),0)+IF('Biodiversity Assessment'!$J$104&gt;0,'Biodiversity Assessment'!$J$104*VLOOKUP('ESVD - Social Value of Bio'!T27&amp;"3",'ESVD - SUMMARY TABLE'!$E$2:$G$294,3,),0)+IF('Biodiversity Assessment'!$J$105&gt;0,'Biodiversity Assessment'!$J$105*VLOOKUP('ESVD - Social Value of Bio'!T27&amp;"4",'ESVD - SUMMARY TABLE'!$E$2:$G$294,3,),0),IF(S27='ESVD - Land Use &amp; Climate Match'!$A$11,IF('Biodiversity Assessment'!$Z$102&gt;0,'Biodiversity Assessment'!$Z$102*VLOOKUP('ESVD - Social Value of Bio'!T27&amp;"1",'ESVD - SUMMARY TABLE'!$E$2:$G$294,3,FALSE),0)+IF('Biodiversity Assessment'!$Z$103&gt;0,'Biodiversity Assessment'!$Z$103*VLOOKUP('ESVD - Social Value of Bio'!T27&amp;"2",'ESVD - SUMMARY TABLE'!$E$2:$G$294,3,FALSE),0)+IF('Biodiversity Assessment'!$Z$104&gt;0,'Biodiversity Assessment'!$Z$104*VLOOKUP('ESVD - Social Value of Bio'!T27&amp;"3",'ESVD - SUMMARY TABLE'!$E$2:$G$294,3,FALSE),0)+IF('Biodiversity Assessment'!$Z$105&gt;0,'Biodiversity Assessment'!$Z$105*VLOOKUP('ESVD - Social Value of Bio'!T27&amp;"4",'ESVD - SUMMARY TABLE'!$E$2:$G$294,3,FALSE),0),IF(S27='ESVD - Land Use &amp; Climate Match'!$A$32,IF('Biodiversity Assessment'!$BD$102&gt;0,'Biodiversity Assessment'!$BD$102*VLOOKUP('ESVD - Social Value of Bio'!T27&amp;"1",'ESVD - SUMMARY TABLE'!$E$2:$G$294,3,FALSE),0)+IF('Biodiversity Assessment'!$BD$103&gt;0,'Biodiversity Assessment'!$BD$103*VLOOKUP('ESVD - Social Value of Bio'!T27&amp;"2",'ESVD - SUMMARY TABLE'!$E$2:$G$294,3,FALSE),0)+IF('Biodiversity Assessment'!$BD$104&gt;0,'Biodiversity Assessment'!$BD$104*VLOOKUP('ESVD - Social Value of Bio'!T27&amp;"3",'ESVD - SUMMARY TABLE'!$E$2:$G$294,3,FALSE),0)+IF('Biodiversity Assessment'!$BD$105&gt;0,'Biodiversity Assessment'!$BD$105*VLOOKUP('ESVD - Social Value of Bio'!T27&amp;"4",'ESVD - SUMMARY TABLE'!$E$2:$G$294,3,FALSE),0)+IF('Biodiversity Assessment'!$BD$106&gt;0,'Biodiversity Assessment'!$BD$106*VLOOKUP('ESVD - Social Value of Bio'!T27&amp;"5",'ESVD - SUMMARY TABLE'!$E$2:$G$294,3,FALSE),0),AVERAGE(IF('Biodiversity Assessment'!$J$102&gt;0,'Biodiversity Assessment'!$J$102*VLOOKUP(CONCATENATE(B27,C27,'ESVD - Land Use &amp; Climate Match'!$A$1)&amp;"1",'ESVD - SUMMARY TABLE'!$E$2:$G$294,3,),0)+IF('Biodiversity Assessment'!$J$103&gt;0,'Biodiversity Assessment'!$J$103*VLOOKUP(CONCATENATE(B27,C27,'ESVD - Land Use &amp; Climate Match'!$A$1)&amp;"2",'ESVD - SUMMARY TABLE'!$E$2:$G$294,3,),0)+IF('Biodiversity Assessment'!$J$104&gt;0,'Biodiversity Assessment'!$J$104*VLOOKUP(CONCATENATE(B27,C27,'ESVD - Land Use &amp; Climate Match'!$A$1)&amp;"3",'ESVD - SUMMARY TABLE'!$E$2:$G$294,3,),0)+IF('Biodiversity Assessment'!$J$105&gt;0,'Biodiversity Assessment'!$J$105*VLOOKUP(CONCATENATE(B27,C27,'ESVD - Land Use &amp; Climate Match'!$A$1)&amp;"4",'ESVD - SUMMARY TABLE'!$E$2:$G$294,3,),0),IF('Biodiversity Assessment'!$Z$102&gt;0,'Biodiversity Assessment'!$Z$102*VLOOKUP(CONCATENATE(B27,C27,'ESVD - Land Use &amp; Climate Match'!$A$11)&amp;"1",'ESVD - SUMMARY TABLE'!$E$2:$G$294,3,FALSE),0)+IF('Biodiversity Assessment'!$Z$103&gt;0,'Biodiversity Assessment'!$Z$103*VLOOKUP(CONCATENATE(B27,C27,'ESVD - Land Use &amp; Climate Match'!$A$11)&amp;"2",'ESVD - SUMMARY TABLE'!$E$2:$G$294,3,FALSE),0)+IF('Biodiversity Assessment'!$Z$104&gt;0,'Biodiversity Assessment'!$Z$104*VLOOKUP(CONCATENATE(B27,C27,'ESVD - Land Use &amp; Climate Match'!$A$11)&amp;"3",'ESVD - SUMMARY TABLE'!$E$2:$G$294,3,FALSE),0)+IF('Biodiversity Assessment'!$Z$105&gt;0,'Biodiversity Assessment'!$Z$105*VLOOKUP(CONCATENATE(B27,C27,'ESVD - Land Use &amp; Climate Match'!$A$11)&amp;"4",'ESVD - SUMMARY TABLE'!$E$2:$G$294,3,FALSE),0),IF('Biodiversity Assessment'!$BD$102&gt;0,'Biodiversity Assessment'!$BD$102*VLOOKUP(CONCATENATE(B27,C27,'ESVD - Land Use &amp; Climate Match'!$A$32)&amp;"1",'ESVD - SUMMARY TABLE'!$E$2:$G$294,3,FALSE),0)+IF('Biodiversity Assessment'!$BD$103&gt;0,'Biodiversity Assessment'!$BD$103*VLOOKUP(CONCATENATE(B27,C27,'ESVD - Land Use &amp; Climate Match'!$A$32)&amp;"2",'ESVD - SUMMARY TABLE'!$E$2:$G$294,3,FALSE),0)+IF('Biodiversity Assessment'!$BD$104&gt;0,'Biodiversity Assessment'!$BD$104*VLOOKUP(CONCATENATE(B27,C27,'ESVD - Land Use &amp; Climate Match'!$A$32)&amp;"3",'ESVD - SUMMARY TABLE'!$E$2:$G$294,3,FALSE),0)+IF('Biodiversity Assessment'!$BD$105&gt;0,'Biodiversity Assessment'!$BD$105*VLOOKUP(CONCATENATE(B27,C27,'ESVD - Land Use &amp; Climate Match'!$A$32)&amp;"4",'ESVD - SUMMARY TABLE'!$E$2:$G$294,3,FALSE),0)+IF('Biodiversity Assessment'!$BD$106&gt;0,'Biodiversity Assessment'!$BD$106*VLOOKUP(CONCATENATE(B27,C27,'ESVD - Land Use &amp; Climate Match'!$A$32)&amp;"5",'ESVD - SUMMARY TABLE'!$E$2:$G$294,3,FALSE)))))),0)</f>
        <v>0</v>
      </c>
      <c r="V27" s="122">
        <f>IFERROR(IF(S27='ESVD - Land Use &amp; Climate Match'!$A$1,IF(SUM('Biodiversity Assessment'!$O$102:$P$105)=SUM('Biodiversity Assessment'!$J$102:$M$105),IF('Biodiversity Assessment'!$O$102&gt;0,'Biodiversity Assessment'!$O$102*VLOOKUP('ESVD - Social Value of Bio'!T27&amp;"1",'ESVD - SUMMARY TABLE'!$E$2:$G$294,3,),0)+IF('Biodiversity Assessment'!$O$103&gt;0,'Biodiversity Assessment'!$O$103*VLOOKUP('ESVD - Social Value of Bio'!T27&amp;"2",'ESVD - SUMMARY TABLE'!$E$2:$G$294,3,),0)+IF('Biodiversity Assessment'!$O$104&gt;0,'Biodiversity Assessment'!$O$104*VLOOKUP('ESVD - Social Value of Bio'!T27&amp;"3",'ESVD - SUMMARY TABLE'!$E$2:$G$294,3,),0)+IF('Biodiversity Assessment'!$O$105&gt;0,'Biodiversity Assessment'!$O$105*VLOOKUP('ESVD - Social Value of Bio'!T27&amp;"4",'ESVD - SUMMARY TABLE'!$E$2:$G$294,3,),0),0),IF(S27='ESVD - Land Use &amp; Climate Match'!$A$11,IF(SUM('Biodiversity Assessment'!$AH$102:$AN$105)=SUM('Biodiversity Assessment'!$Z$102:$AF$105),IF('Biodiversity Assessment'!$AH$102&gt;0,'Biodiversity Assessment'!$AH$102*VLOOKUP('ESVD - Social Value of Bio'!T27&amp;"1",'ESVD - SUMMARY TABLE'!$E$2:$G$294,3,FALSE),0)+IF('Biodiversity Assessment'!$AH$103&gt;0,'Biodiversity Assessment'!$AH$103*VLOOKUP('ESVD - Social Value of Bio'!T27&amp;"2",'ESVD - SUMMARY TABLE'!$E$2:$G$294,3,FALSE),0)+IF('Biodiversity Assessment'!$AH$104&gt;0,'Biodiversity Assessment'!$AH$104*VLOOKUP('ESVD - Social Value of Bio'!T27&amp;"3",'ESVD - SUMMARY TABLE'!$E$2:$G$294,3,FALSE),0)+IF('Biodiversity Assessment'!$AH$105&gt;0,'Biodiversity Assessment'!$AH$105*VLOOKUP('ESVD - Social Value of Bio'!T27&amp;"4",'ESVD - SUMMARY TABLE'!$E$2:$G$294,3,FALSE),0),0),IF(S27='ESVD - Land Use &amp; Climate Match'!$A$32,IF(SUM('Biodiversity Assessment'!$BF$102:$BF$106)=SUM('Biodiversity Assessment'!$BD$102:$BD$106),IF('Biodiversity Assessment'!$BF$102&gt;0,'Biodiversity Assessment'!$BF$102*VLOOKUP('ESVD - Social Value of Bio'!T27&amp;"1",'ESVD - SUMMARY TABLE'!$E$2:$G$294,3,FALSE),0)+IF('Biodiversity Assessment'!$BF$103&gt;0,'Biodiversity Assessment'!$BF$103*VLOOKUP('ESVD - Social Value of Bio'!T27&amp;"2",'ESVD - SUMMARY TABLE'!$E$2:$G$294,3,FALSE),0)+IF('Biodiversity Assessment'!$BF$104&gt;0,'Biodiversity Assessment'!$BF$104*VLOOKUP('ESVD - Social Value of Bio'!T27&amp;"3",'ESVD - SUMMARY TABLE'!$E$2:$G$294,3,FALSE),0)+IF('Biodiversity Assessment'!$BF$105&gt;0,'Biodiversity Assessment'!$BF$105*VLOOKUP('ESVD - Social Value of Bio'!T27&amp;"4",'ESVD - SUMMARY TABLE'!$E$2:$G$294,3,FALSE),0)+IF('Biodiversity Assessment'!$BF$106&gt;0,'Biodiversity Assessment'!$BF$106*VLOOKUP('ESVD - Social Value of Bio'!T27&amp;"5",'ESVD - SUMMARY TABLE'!$E$2:$G$294,3,FALSE),0),0),AVERAGE(IF(SUM('Biodiversity Assessment'!$O$102:$P$105)=SUM('Biodiversity Assessment'!$J$102:$M$105),IF('Biodiversity Assessment'!$O$102&gt;0,'Biodiversity Assessment'!$O$102*VLOOKUP(CONCATENATE($B27,$C27,'ESVD - Land Use &amp; Climate Match'!$A$1)&amp;"1",'ESVD - SUMMARY TABLE'!$E$2:$G$294,3,),0)+IF('Biodiversity Assessment'!$O$103&gt;0,'Biodiversity Assessment'!$O$103*VLOOKUP(CONCATENATE($B27,$C27,'ESVD - Land Use &amp; Climate Match'!$A$1)&amp;"2",'ESVD - SUMMARY TABLE'!$E$2:$G$294,3,),0)+IF('Biodiversity Assessment'!$O$104&gt;0,'Biodiversity Assessment'!$O$104*VLOOKUP(CONCATENATE($B27,$C27,'ESVD - Land Use &amp; Climate Match'!$A$1)&amp;"3",'ESVD - SUMMARY TABLE'!$E$2:$G$294,3,),0)+IF('Biodiversity Assessment'!$O$105&gt;0,'Biodiversity Assessment'!$O$105*VLOOKUP(CONCATENATE($B27,$C27,'ESVD - Land Use &amp; Climate Match'!$A$1)&amp;"4",'ESVD - SUMMARY TABLE'!$E$2:$G$294,3,),0),0),IF(SUM('Biodiversity Assessment'!$AH$102:$AN$105)=SUM('Biodiversity Assessment'!$Z$102:$AF$105),IF('Biodiversity Assessment'!$AH$102&gt;0,'Biodiversity Assessment'!$AH$102*VLOOKUP(CONCATENATE($B27,$C27,'ESVD - Land Use &amp; Climate Match'!$A$11)&amp;"1",'ESVD - SUMMARY TABLE'!$E$2:$G$294,3,FALSE),0)+IF('Biodiversity Assessment'!$AH$103&gt;0,'Biodiversity Assessment'!$AH$103*VLOOKUP(CONCATENATE($B27,$C27,'ESVD - Land Use &amp; Climate Match'!$A$11)&amp;"2",'ESVD - SUMMARY TABLE'!$E$2:$G$294,3,FALSE),0)+IF('Biodiversity Assessment'!$AH$104&gt;0,'Biodiversity Assessment'!$AH$104*VLOOKUP(CONCATENATE($B27,$C27,'ESVD - Land Use &amp; Climate Match'!$A$11)&amp;"3",'ESVD - SUMMARY TABLE'!$E$2:$G$294,3,FALSE),0)+IF('Biodiversity Assessment'!$AH$105&gt;0,'Biodiversity Assessment'!$AH$105*VLOOKUP(CONCATENATE($B27,$C27,'ESVD - Land Use &amp; Climate Match'!$A$11)&amp;"4",'ESVD - SUMMARY TABLE'!$E$2:$G$294,3,FALSE),0),0),IF(SUM('Biodiversity Assessment'!$BF$102:$BF$106)=SUM('Biodiversity Assessment'!$BD$102:$BD$106),IF('Biodiversity Assessment'!$BF$102&gt;0,'Biodiversity Assessment'!$BF$102*VLOOKUP(CONCATENATE($B27,$C27,'ESVD - Land Use &amp; Climate Match'!$A$32)&amp;"1",'ESVD - SUMMARY TABLE'!$E$2:$G$294,3,FALSE),0)+IF('Biodiversity Assessment'!$BF$103&gt;0,'Biodiversity Assessment'!$BF$103*VLOOKUP(CONCATENATE($B27,$C27,'ESVD - Land Use &amp; Climate Match'!$A$32)&amp;"2",'ESVD - SUMMARY TABLE'!$E$2:$G$294,3,FALSE),0)+IF('Biodiversity Assessment'!$BF$104&gt;0,'Biodiversity Assessment'!$BF$104*VLOOKUP(CONCATENATE($B27,$C27,'ESVD - Land Use &amp; Climate Match'!$A$32)&amp;"3",'ESVD - SUMMARY TABLE'!$E$2:$G$294,3,FALSE),0)+IF('Biodiversity Assessment'!$BF$105&gt;0,'Biodiversity Assessment'!$BF$105*VLOOKUP(CONCATENATE($B27,$C27,'ESVD - Land Use &amp; Climate Match'!$A$32)&amp;"4",'ESVD - SUMMARY TABLE'!$E$2:$G$294,3,FALSE),0)+IF('Biodiversity Assessment'!$BF$106&gt;0,'Biodiversity Assessment'!$BF$106*VLOOKUP(CONCATENATE($B27,$C27,'ESVD - Land Use &amp; Climate Match'!$A$32)&amp;"5",'ESVD - SUMMARY TABLE'!$E$2:$G$294,3,FALSE),0),0))))),0)</f>
        <v>0</v>
      </c>
      <c r="W27" s="122">
        <f>'Biodiversity Assessment'!CX42</f>
        <v>0</v>
      </c>
      <c r="X27" s="122">
        <f>IFERROR(IF(W27&gt;0,W27*'Biodiversity Assessment'!$U42,IF(V27&gt;0,V27*'Biodiversity Assessment'!$U42,U27*'Biodiversity Assessment'!$U42)),0)</f>
        <v>0</v>
      </c>
      <c r="Y27" s="454"/>
      <c r="Z27" s="123">
        <f>IFERROR(IF(S27='ESVD - Land Use &amp; Climate Match'!$A$1,IF('Biodiversity Assessment'!$J$102&gt;0,'Biodiversity Assessment'!$J$102*VLOOKUP('ESVD - Social Value of Bio'!T27&amp;"1",'ESVD - SUMMARY TABLE'!$E$2:$G$294,3,),0)+IF('Biodiversity Assessment'!$J$103&gt;0,'Biodiversity Assessment'!$J$103*VLOOKUP('ESVD - Social Value of Bio'!T27&amp;"2",'ESVD - SUMMARY TABLE'!$E$2:$G$294,3,),0)+IF('Biodiversity Assessment'!$J$104&gt;0,'Biodiversity Assessment'!$J$104*VLOOKUP('ESVD - Social Value of Bio'!T27&amp;"3",'ESVD - SUMMARY TABLE'!$E$2:$G$294,3,),0)+IF('Biodiversity Assessment'!$J$105&gt;0,'Biodiversity Assessment'!$J$105*VLOOKUP('ESVD - Social Value of Bio'!T27&amp;"4",'ESVD - SUMMARY TABLE'!$E$2:$G$294,3,),0),IF(S27='ESVD - Land Use &amp; Climate Match'!$A$11,IF('Biodiversity Assessment'!$Z$102&gt;0,'Biodiversity Assessment'!$Z$102*VLOOKUP('ESVD - Social Value of Bio'!T27&amp;"1",'ESVD - SUMMARY TABLE'!$E$2:$G$294,3,FALSE),0)+IF('Biodiversity Assessment'!$Z$103&gt;0,'Biodiversity Assessment'!$Z$103*VLOOKUP('ESVD - Social Value of Bio'!T27&amp;"2",'ESVD - SUMMARY TABLE'!$E$2:$G$294,3,FALSE),0)+IF('Biodiversity Assessment'!$Z$104&gt;0,'Biodiversity Assessment'!$Z$104*VLOOKUP('ESVD - Social Value of Bio'!T27&amp;"3",'ESVD - SUMMARY TABLE'!$E$2:$G$294,3,FALSE),0)+IF('Biodiversity Assessment'!$Z$105&gt;0,'Biodiversity Assessment'!$Z$105*VLOOKUP('ESVD - Social Value of Bio'!T27&amp;"4",'ESVD - SUMMARY TABLE'!$E$2:$G$294,3,FALSE),0),IF(S27='ESVD - Land Use &amp; Climate Match'!$A$32,IF('Biodiversity Assessment'!$BD$102&gt;0,'Biodiversity Assessment'!$BD$102*VLOOKUP('ESVD - Social Value of Bio'!T27&amp;"1",'ESVD - SUMMARY TABLE'!$E$2:$G$294,3,FALSE),0)+IF('Biodiversity Assessment'!$BD$103&gt;0,'Biodiversity Assessment'!$BD$103*VLOOKUP('ESVD - Social Value of Bio'!T27&amp;"2",'ESVD - SUMMARY TABLE'!$E$2:$G$294,3,FALSE),0)+IF('Biodiversity Assessment'!$BD$104&gt;0,'Biodiversity Assessment'!$BD$104*VLOOKUP('ESVD - Social Value of Bio'!T27&amp;"3",'ESVD - SUMMARY TABLE'!$E$2:$G$294,3,FALSE),0)+IF('Biodiversity Assessment'!$BD$105&gt;0,'Biodiversity Assessment'!$BD$105*VLOOKUP('ESVD - Social Value of Bio'!T27&amp;"4",'ESVD - SUMMARY TABLE'!$E$2:$G$294,3,FALSE),0)+IF('Biodiversity Assessment'!$BD$106&gt;0,'Biodiversity Assessment'!$BD$106*VLOOKUP('ESVD - Social Value of Bio'!T27&amp;"5",'ESVD - SUMMARY TABLE'!$E$2:$G$294,3,FALSE),0),VLOOKUP('ESVD - Social Value of Bio'!T27&amp;"1",'ESVD - SUMMARY TABLE'!$E$2:$G$294,3,FALSE)))),0)</f>
        <v>0</v>
      </c>
      <c r="AA27" s="123">
        <f>IFERROR(IF(S27='ESVD - Land Use &amp; Climate Match'!$A$1,IF(SUM('Biodiversity Assessment'!$O$102:$P$105)=SUM('Biodiversity Assessment'!$J$102:$M$105),IF('Biodiversity Assessment'!$O$102&gt;0,'Biodiversity Assessment'!$O$102*VLOOKUP('ESVD - Social Value of Bio'!T27&amp;"1",'ESVD - SUMMARY TABLE'!$E$2:$G$294,3,),0)+IF('Biodiversity Assessment'!$O$103&gt;0,'Biodiversity Assessment'!$O$103*VLOOKUP('ESVD - Social Value of Bio'!T27&amp;"2",'ESVD - SUMMARY TABLE'!$E$2:$G$294,3,),0)+IF('Biodiversity Assessment'!$O$104&gt;0,'Biodiversity Assessment'!$O$104*VLOOKUP('ESVD - Social Value of Bio'!T27&amp;"3",'ESVD - SUMMARY TABLE'!$E$2:$G$294,3,),0)+IF('Biodiversity Assessment'!$O$105&gt;0,'Biodiversity Assessment'!$O$105*VLOOKUP('ESVD - Social Value of Bio'!T27&amp;"4",'ESVD - SUMMARY TABLE'!$E$2:$G$294,3,),0),0),IF(S27='ESVD - Land Use &amp; Climate Match'!$A$11,IF(SUM('Biodiversity Assessment'!$AH$102:$AN$105)=SUM('Biodiversity Assessment'!$Z$102:$AF$105),IF('Biodiversity Assessment'!$AH$102&gt;0,'Biodiversity Assessment'!$AH$102*VLOOKUP('ESVD - Social Value of Bio'!T27&amp;"1",'ESVD - SUMMARY TABLE'!$E$2:$G$294,3,FALSE),0)+IF('Biodiversity Assessment'!$AH$103&gt;0,'Biodiversity Assessment'!$AH$103*VLOOKUP('ESVD - Social Value of Bio'!T27&amp;"2",'ESVD - SUMMARY TABLE'!$E$2:$G$294,3,FALSE),0)+IF('Biodiversity Assessment'!$AH$104&gt;0,'Biodiversity Assessment'!$AH$104*VLOOKUP('ESVD - Social Value of Bio'!T27&amp;"3",'ESVD - SUMMARY TABLE'!$E$2:$G$294,3,FALSE),0)+IF('Biodiversity Assessment'!$AH$105&gt;0,'Biodiversity Assessment'!$AH$105*VLOOKUP('ESVD - Social Value of Bio'!T27&amp;"4",'ESVD - SUMMARY TABLE'!$E$2:$G$294,3,FALSE),0),0),IF(S27='ESVD - Land Use &amp; Climate Match'!$A$32,IF(SUM('Biodiversity Assessment'!$BF$102:$BF$106)=SUM('Biodiversity Assessment'!$BD$102:$BD$106),IF('Biodiversity Assessment'!$BF$102&gt;0,'Biodiversity Assessment'!$BF$102*VLOOKUP('ESVD - Social Value of Bio'!T27&amp;"1",'ESVD - SUMMARY TABLE'!$E$2:$G$294,3,FALSE),0)+IF('Biodiversity Assessment'!$BF$103&gt;0,'Biodiversity Assessment'!$BF$103*VLOOKUP('ESVD - Social Value of Bio'!T27&amp;"2",'ESVD - SUMMARY TABLE'!$E$2:$G$294,3,FALSE),0)+IF('Biodiversity Assessment'!$BF$104&gt;0,'Biodiversity Assessment'!$BF$104*VLOOKUP('ESVD - Social Value of Bio'!T27&amp;"3",'ESVD - SUMMARY TABLE'!$E$2:$G$294,3,FALSE),0)+IF('Biodiversity Assessment'!$BF$105&gt;0,'Biodiversity Assessment'!$BF$105*VLOOKUP('ESVD - Social Value of Bio'!T27&amp;"4",'ESVD - SUMMARY TABLE'!$E$2:$G$294,3,FALSE),0)+IF('Biodiversity Assessment'!$BF$106&gt;0,'Biodiversity Assessment'!$BF$106*VLOOKUP('ESVD - Social Value of Bio'!T27&amp;"5",'ESVD - SUMMARY TABLE'!$E$2:$G$294,3,FALSE),0),0),VLOOKUP('ESVD - Social Value of Bio'!T27&amp;"1",'ESVD - SUMMARY TABLE'!$E$2:$G$294,3,FALSE)))),0)</f>
        <v>0</v>
      </c>
      <c r="AB27" s="123">
        <f>'Biodiversity Assessment'!CX42</f>
        <v>0</v>
      </c>
      <c r="AC27" s="124">
        <f>IFERROR(IF(AB27&gt;0,AB27*'Biodiversity Assessment'!U42,IF(AA27&gt;0,AA27*'Biodiversity Assessment'!U42,Z27*'Biodiversity Assessment'!U42)),0)</f>
        <v>0</v>
      </c>
      <c r="AD27" s="456"/>
      <c r="AG27" s="453"/>
    </row>
    <row r="28" spans="1:33" s="110" customFormat="1" ht="10.5" x14ac:dyDescent="0.25">
      <c r="A28" s="107" t="s">
        <v>403</v>
      </c>
      <c r="B28" s="108" t="str">
        <f>IF(Start!$D$28&gt;1000,CONCATENATE(Start!$D$20," Mountain"),Start!$D$20)</f>
        <v>Please select</v>
      </c>
      <c r="C28" s="108" t="str">
        <f>Start!$D$24</f>
        <v>Please select</v>
      </c>
      <c r="D28" s="109" t="str">
        <f>'Biodiversity Assessment'!G43</f>
        <v>Select land use</v>
      </c>
      <c r="E28" s="109" t="str">
        <f>IF(OR(D28=Data!$E$4,D28=Data!$E$5,D28=Data!$E$6,D28=Data!$E$7),Data!$E$4,IF(OR(D28=Data!$E$9,D28=Data!$E$10,D28=Data!$E$11),Data!$E$9,IF(OR(D28=Data!$E$12,D28=Data!$E$13,D28=Data!$E$14),"Cropland",IF(OR(D28=Data!$E$16,D28=Data!$E$17),"Agroforestry",D28))))</f>
        <v>Select land use</v>
      </c>
      <c r="F28" s="109" t="str">
        <f t="shared" si="0"/>
        <v>Please selectPlease selectSelect land use</v>
      </c>
      <c r="G28" s="122">
        <f>IFERROR(IF(E28='ESVD - Land Use &amp; Climate Match'!$A$1,IF('Biodiversity Assessment'!$J$102&gt;0,'Biodiversity Assessment'!$J$102*VLOOKUP('ESVD - Social Value of Bio'!F28&amp;"1",'ESVD - SUMMARY TABLE'!$E$2:$G$294,3,),0)+IF('Biodiversity Assessment'!$J$103&gt;0,'Biodiversity Assessment'!$J$103*VLOOKUP('ESVD - Social Value of Bio'!F28&amp;"2",'ESVD - SUMMARY TABLE'!$E$2:$G$294,3,),0)+IF('Biodiversity Assessment'!$J$104&gt;0,'Biodiversity Assessment'!$J$104*VLOOKUP('ESVD - Social Value of Bio'!F28&amp;"3",'ESVD - SUMMARY TABLE'!$E$2:$G$294,3,),0)+IF('Biodiversity Assessment'!$J$105&gt;0,'Biodiversity Assessment'!$J$105*VLOOKUP('ESVD - Social Value of Bio'!F28&amp;"4",'ESVD - SUMMARY TABLE'!$E$2:$G$294,3,),0),IF(E28='ESVD - Land Use &amp; Climate Match'!$A$11,IF('Biodiversity Assessment'!$Z$102&gt;0,'Biodiversity Assessment'!$Z$102*VLOOKUP('ESVD - Social Value of Bio'!F28&amp;"1",'ESVD - SUMMARY TABLE'!$E$2:$G$294,3,FALSE),0)+IF('Biodiversity Assessment'!$Z$103&gt;0,'Biodiversity Assessment'!$Z$103*VLOOKUP('ESVD - Social Value of Bio'!F28&amp;"2",'ESVD - SUMMARY TABLE'!$E$2:$G$294,3,FALSE),0)+IF('Biodiversity Assessment'!$Z$104&gt;0,'Biodiversity Assessment'!$Z$104*VLOOKUP('ESVD - Social Value of Bio'!F28&amp;"3",'ESVD - SUMMARY TABLE'!$E$2:$G$294,3,FALSE),0)+IF('Biodiversity Assessment'!$Z$105&gt;0,'Biodiversity Assessment'!$Z$105*VLOOKUP('ESVD - Social Value of Bio'!F28&amp;"4",'ESVD - SUMMARY TABLE'!$E$2:$G$294,3,FALSE),0),IF(E28='ESVD - Land Use &amp; Climate Match'!$A$32,IF('Biodiversity Assessment'!$BD$102&gt;0,'Biodiversity Assessment'!$BD$102*VLOOKUP('ESVD - Social Value of Bio'!F28&amp;"1",'ESVD - SUMMARY TABLE'!$E$2:$G$294,3,FALSE),0)+IF('Biodiversity Assessment'!$BD$103&gt;0,'Biodiversity Assessment'!$BD$103*VLOOKUP('ESVD - Social Value of Bio'!F28&amp;"2",'ESVD - SUMMARY TABLE'!$E$2:$G$294,3,FALSE),0)+IF('Biodiversity Assessment'!$BD$104&gt;0,'Biodiversity Assessment'!$BD$104*VLOOKUP('ESVD - Social Value of Bio'!F28&amp;"3",'ESVD - SUMMARY TABLE'!$E$2:$G$294,3,FALSE),0)+IF('Biodiversity Assessment'!$BD$105&gt;0,'Biodiversity Assessment'!$BD$105*VLOOKUP('ESVD - Social Value of Bio'!F28&amp;"4",'ESVD - SUMMARY TABLE'!$E$2:$G$294,3,FALSE),0)+IF('Biodiversity Assessment'!$BD$106&gt;0,'Biodiversity Assessment'!$BD$106*VLOOKUP('ESVD - Social Value of Bio'!F28&amp;"5",'ESVD - SUMMARY TABLE'!$E$2:$G$294,3,FALSE),0),AVERAGE(IF('Biodiversity Assessment'!$J$102&gt;0,'Biodiversity Assessment'!$J$102*VLOOKUP(CONCATENATE($B28,$C28,'ESVD - Land Use &amp; Climate Match'!$A$1)&amp;"1",'ESVD - SUMMARY TABLE'!$E$2:$G$294,3,),0)+IF('Biodiversity Assessment'!$J$103&gt;0,'Biodiversity Assessment'!$J$103*VLOOKUP(CONCATENATE($B28,$C28,'ESVD - Land Use &amp; Climate Match'!$A$1)&amp;"2",'ESVD - SUMMARY TABLE'!$E$2:$G$294,3,),0)+IF('Biodiversity Assessment'!$J$104&gt;0,'Biodiversity Assessment'!$J$104*VLOOKUP(CONCATENATE($B28,$C28,'ESVD - Land Use &amp; Climate Match'!$A$1)&amp;"3",'ESVD - SUMMARY TABLE'!$E$2:$G$294,3,),0)+IF('Biodiversity Assessment'!$J$105&gt;0,'Biodiversity Assessment'!$J$105*VLOOKUP(CONCATENATE($B28,$C28,'ESVD - Land Use &amp; Climate Match'!$A$1)&amp;"4",'ESVD - SUMMARY TABLE'!$E$2:$G$294,3,),0),IF('Biodiversity Assessment'!$Z$102&gt;0,'Biodiversity Assessment'!$Z$102*VLOOKUP(CONCATENATE($B28,$C28,'ESVD - Land Use &amp; Climate Match'!$A$11)&amp;"1",'ESVD - SUMMARY TABLE'!$E$2:$G$294,3,FALSE),0)+IF('Biodiversity Assessment'!$Z$103&gt;0,'Biodiversity Assessment'!$Z$103*VLOOKUP(CONCATENATE($B28,$C28,'ESVD - Land Use &amp; Climate Match'!$A$11)&amp;"2",'ESVD - SUMMARY TABLE'!$E$2:$G$294,3,FALSE),0)+IF('Biodiversity Assessment'!$Z$104&gt;0,'Biodiversity Assessment'!$Z$104*VLOOKUP(CONCATENATE($B28,$C28,'ESVD - Land Use &amp; Climate Match'!$A$11)&amp;"3",'ESVD - SUMMARY TABLE'!$E$2:$G$294,3,FALSE),0)+IF('Biodiversity Assessment'!$Z$105&gt;0,'Biodiversity Assessment'!$Z$105*VLOOKUP(CONCATENATE($B28,$C28,'ESVD - Land Use &amp; Climate Match'!$A$11)&amp;"4",'ESVD - SUMMARY TABLE'!$E$2:$G$294,3,FALSE),0),IF('Biodiversity Assessment'!$BD$102&gt;0,'Biodiversity Assessment'!$BD$102*VLOOKUP(CONCATENATE($B28,$C28,'ESVD - Land Use &amp; Climate Match'!$A$32)&amp;"1",'ESVD - SUMMARY TABLE'!$E$2:$G$294,3,FALSE),0)+IF('Biodiversity Assessment'!$BD$103&gt;0,'Biodiversity Assessment'!$BD$103*VLOOKUP(CONCATENATE($B28,$C28,'ESVD - Land Use &amp; Climate Match'!$A$32)&amp;"2",'ESVD - SUMMARY TABLE'!$E$2:$G$294,3,FALSE),0)+IF('Biodiversity Assessment'!$BD$104&gt;0,'Biodiversity Assessment'!$BD$104*VLOOKUP(CONCATENATE($B28,$C28,'ESVD - Land Use &amp; Climate Match'!$A$32)&amp;"3",'ESVD - SUMMARY TABLE'!$E$2:$G$294,3,FALSE),0)+IF('Biodiversity Assessment'!$BD$105&gt;0,'Biodiversity Assessment'!$BD$105*VLOOKUP(CONCATENATE($B28,$C28,'ESVD - Land Use &amp; Climate Match'!$A$32)&amp;"4",'ESVD - SUMMARY TABLE'!$E$2:$G$294,3,FALSE),0)+IF('Biodiversity Assessment'!$BD$106&gt;0,'Biodiversity Assessment'!$BD$106*VLOOKUP(CONCATENATE($B28,$C28,'ESVD - Land Use &amp; Climate Match'!$A$32)&amp;"5",'ESVD - SUMMARY TABLE'!$E$2:$G$294,3,FALSE)))))),0)</f>
        <v>0</v>
      </c>
      <c r="H28" s="122">
        <f>IFERROR(IF(E28='ESVD - Land Use &amp; Climate Match'!$A$1,IF(SUM('Biodiversity Assessment'!$O$102:$P$105)=SUM('Biodiversity Assessment'!$J$102:$M$105),IF('Biodiversity Assessment'!$O$102&gt;0,'Biodiversity Assessment'!$O$102*VLOOKUP('ESVD - Social Value of Bio'!F28&amp;"1",'ESVD - SUMMARY TABLE'!$E$2:$G$294,3,),0)+IF('Biodiversity Assessment'!$O$103&gt;0,'Biodiversity Assessment'!$O$103*VLOOKUP('ESVD - Social Value of Bio'!F28&amp;"2",'ESVD - SUMMARY TABLE'!$E$2:$G$294,3,),0)+IF('Biodiversity Assessment'!$O$104&gt;0,'Biodiversity Assessment'!$O$104*VLOOKUP('ESVD - Social Value of Bio'!F28&amp;"3",'ESVD - SUMMARY TABLE'!$E$2:$G$294,3,),0)+IF('Biodiversity Assessment'!$O$105&gt;0,'Biodiversity Assessment'!$O$105*VLOOKUP('ESVD - Social Value of Bio'!F28&amp;"4",'ESVD - SUMMARY TABLE'!$E$2:$G$294,3,),0),0),IF(E28='ESVD - Land Use &amp; Climate Match'!$A$11,IF(SUM('Biodiversity Assessment'!$AH$102:$AN$105)=SUM('Biodiversity Assessment'!$Z$102:$AF$105),IF('Biodiversity Assessment'!$AH$102&gt;0,'Biodiversity Assessment'!$AH$102*VLOOKUP('ESVD - Social Value of Bio'!F28&amp;"1",'ESVD - SUMMARY TABLE'!$E$2:$G$294,3,FALSE),0)+IF('Biodiversity Assessment'!$AH$103&gt;0,'Biodiversity Assessment'!$AH$103*VLOOKUP('ESVD - Social Value of Bio'!F28&amp;"2",'ESVD - SUMMARY TABLE'!$E$2:$G$294,3,FALSE),0)+IF('Biodiversity Assessment'!$AH$104&gt;0,'Biodiversity Assessment'!$AH$104*VLOOKUP('ESVD - Social Value of Bio'!F28&amp;"3",'ESVD - SUMMARY TABLE'!$E$2:$G$294,3,FALSE),0)+IF('Biodiversity Assessment'!$AH$105&gt;0,'Biodiversity Assessment'!$AH$105*VLOOKUP('ESVD - Social Value of Bio'!F28&amp;"4",'ESVD - SUMMARY TABLE'!$E$2:$G$294,3,FALSE),0),0),IF(E28='ESVD - Land Use &amp; Climate Match'!$A$32,IF(SUM('Biodiversity Assessment'!$BF$102:$BF$106)=SUM('Biodiversity Assessment'!$BD$102:$BD$106),IF('Biodiversity Assessment'!$BF$102&gt;0,'Biodiversity Assessment'!$BF$102*VLOOKUP('ESVD - Social Value of Bio'!F28&amp;"1",'ESVD - SUMMARY TABLE'!$E$2:$G$294,3,FALSE),0)+IF('Biodiversity Assessment'!$BF$103&gt;0,'Biodiversity Assessment'!$BF$103*VLOOKUP('ESVD - Social Value of Bio'!F28&amp;"2",'ESVD - SUMMARY TABLE'!$E$2:$G$294,3,FALSE),0)+IF('Biodiversity Assessment'!$BF$104&gt;0,'Biodiversity Assessment'!$BF$104*VLOOKUP('ESVD - Social Value of Bio'!F28&amp;"3",'ESVD - SUMMARY TABLE'!$E$2:$G$294,3,FALSE),0)+IF('Biodiversity Assessment'!$BF$105&gt;0,'Biodiversity Assessment'!$BF$105*VLOOKUP('ESVD - Social Value of Bio'!F28&amp;"4",'ESVD - SUMMARY TABLE'!$E$2:$G$294,3,FALSE),0)+IF('Biodiversity Assessment'!$BF$106&gt;0,'Biodiversity Assessment'!$BF$106*VLOOKUP('ESVD - Social Value of Bio'!F28&amp;"5",'ESVD - SUMMARY TABLE'!$E$2:$G$294,3,FALSE),0),0),AVERAGE(IF(SUM('Biodiversity Assessment'!$O$102:$P$105)=SUM('Biodiversity Assessment'!$J$102:$M$105),IF('Biodiversity Assessment'!$O$102&gt;0,'Biodiversity Assessment'!$O$102*VLOOKUP(CONCATENATE($B28,$C28,'ESVD - Land Use &amp; Climate Match'!$A$1)&amp;"1",'ESVD - SUMMARY TABLE'!$E$2:$G$294,3,),0)+IF('Biodiversity Assessment'!$O$103&gt;0,'Biodiversity Assessment'!$O$103*VLOOKUP(CONCATENATE($B28,$C28,'ESVD - Land Use &amp; Climate Match'!$A$1)&amp;"2",'ESVD - SUMMARY TABLE'!$E$2:$G$294,3,),0)+IF('Biodiversity Assessment'!$O$104&gt;0,'Biodiversity Assessment'!$O$104*VLOOKUP(CONCATENATE($B28,$C28,'ESVD - Land Use &amp; Climate Match'!$A$1)&amp;"3",'ESVD - SUMMARY TABLE'!$E$2:$G$294,3,),0)+IF('Biodiversity Assessment'!$O$105&gt;0,'Biodiversity Assessment'!$O$105*VLOOKUP(CONCATENATE($B28,$C28,'ESVD - Land Use &amp; Climate Match'!$A$1)&amp;"4",'ESVD - SUMMARY TABLE'!$E$2:$G$294,3,),0),0),IF(SUM('Biodiversity Assessment'!$AH$102:$AN$105)=SUM('Biodiversity Assessment'!$Z$102:$AF$105),IF('Biodiversity Assessment'!$AH$102&gt;0,'Biodiversity Assessment'!$AH$102*VLOOKUP(CONCATENATE($B28,$C28,'ESVD - Land Use &amp; Climate Match'!$A$11)&amp;"1",'ESVD - SUMMARY TABLE'!$E$2:$G$294,3,FALSE),0)+IF('Biodiversity Assessment'!$AH$103&gt;0,'Biodiversity Assessment'!$AH$103*VLOOKUP(CONCATENATE($B28,$C28,'ESVD - Land Use &amp; Climate Match'!$A$11)&amp;"2",'ESVD - SUMMARY TABLE'!$E$2:$G$294,3,FALSE),0)+IF('Biodiversity Assessment'!$AH$104&gt;0,'Biodiversity Assessment'!$AH$104*VLOOKUP(CONCATENATE($B28,$C28,'ESVD - Land Use &amp; Climate Match'!$A$11)&amp;"3",'ESVD - SUMMARY TABLE'!$E$2:$G$294,3,FALSE),0)+IF('Biodiversity Assessment'!$AH$105&gt;0,'Biodiversity Assessment'!$AH$105*VLOOKUP(CONCATENATE($B28,$C28,'ESVD - Land Use &amp; Climate Match'!$A$11)&amp;"4",'ESVD - SUMMARY TABLE'!$E$2:$G$294,3,FALSE),0),0),IF(SUM('Biodiversity Assessment'!$BF$102:$BF$106)=SUM('Biodiversity Assessment'!$BD$102:$BD$106),IF('Biodiversity Assessment'!$BF$102&gt;0,'Biodiversity Assessment'!$BF$102*VLOOKUP(CONCATENATE($B28,$C28,'ESVD - Land Use &amp; Climate Match'!$A$32)&amp;"1",'ESVD - SUMMARY TABLE'!$E$2:$G$294,3,FALSE),0)+IF('Biodiversity Assessment'!$BF$103&gt;0,'Biodiversity Assessment'!$BF$103*VLOOKUP(CONCATENATE($B28,$C28,'ESVD - Land Use &amp; Climate Match'!$A$32)&amp;"2",'ESVD - SUMMARY TABLE'!$E$2:$G$294,3,FALSE),0)+IF('Biodiversity Assessment'!$BF$104&gt;0,'Biodiversity Assessment'!$BF$104*VLOOKUP(CONCATENATE($B28,$C28,'ESVD - Land Use &amp; Climate Match'!$A$32)&amp;"3",'ESVD - SUMMARY TABLE'!$E$2:$G$294,3,FALSE),0)+IF('Biodiversity Assessment'!$BF$105&gt;0,'Biodiversity Assessment'!$BF$105*VLOOKUP(CONCATENATE($B28,$C28,'ESVD - Land Use &amp; Climate Match'!$A$32)&amp;"4",'ESVD - SUMMARY TABLE'!$E$2:$G$294,3,FALSE),0)+IF('Biodiversity Assessment'!$BF$106&gt;0,'Biodiversity Assessment'!$BF$106*VLOOKUP(CONCATENATE($B28,$C28,'ESVD - Land Use &amp; Climate Match'!$A$32)&amp;"5",'ESVD - SUMMARY TABLE'!$E$2:$G$294,3,FALSE),0),0))))),0)</f>
        <v>0</v>
      </c>
      <c r="I28" s="122">
        <f>'Biodiversity Assessment'!CR43</f>
        <v>0</v>
      </c>
      <c r="J28" s="122">
        <f>IFERROR(IF(I28&gt;0,I28*'Biodiversity Assessment'!$M43,IF(H28&gt;0,H28*'Biodiversity Assessment'!$M43,G28*'Biodiversity Assessment'!$M43)),0)</f>
        <v>0</v>
      </c>
      <c r="K28" s="454"/>
      <c r="L28" s="123">
        <f>IFERROR(IF(E28='ESVD - Land Use &amp; Climate Match'!$A$1,IF('Biodiversity Assessment'!$J$102&gt;0,'Biodiversity Assessment'!$J$102*VLOOKUP('ESVD - Social Value of Bio'!F28&amp;"1",'ESVD - SUMMARY TABLE'!$E$2:$G$294,3,),0)+IF('Biodiversity Assessment'!$J$103&gt;0,'Biodiversity Assessment'!$J$103*VLOOKUP('ESVD - Social Value of Bio'!F28&amp;"2",'ESVD - SUMMARY TABLE'!$E$2:$G$294,3,),0)+IF('Biodiversity Assessment'!$J$104&gt;0,'Biodiversity Assessment'!$J$104*VLOOKUP('ESVD - Social Value of Bio'!F28&amp;"3",'ESVD - SUMMARY TABLE'!$E$2:$G$294,3,),0)+IF('Biodiversity Assessment'!$J$105&gt;0,'Biodiversity Assessment'!$J$105*VLOOKUP('ESVD - Social Value of Bio'!F28&amp;"4",'ESVD - SUMMARY TABLE'!$E$2:$G$294,3,),0),IF(E28='ESVD - Land Use &amp; Climate Match'!$A$11,IF('Biodiversity Assessment'!$Z$102&gt;0,'Biodiversity Assessment'!$Z$102*VLOOKUP('ESVD - Social Value of Bio'!F28&amp;"1",'ESVD - SUMMARY TABLE'!$E$2:$G$294,3,FALSE),0)+IF('Biodiversity Assessment'!$Z$103&gt;0,'Biodiversity Assessment'!$Z$103*VLOOKUP('ESVD - Social Value of Bio'!F28&amp;"2",'ESVD - SUMMARY TABLE'!$E$2:$G$294,3,FALSE),0)+IF('Biodiversity Assessment'!$Z$104&gt;0,'Biodiversity Assessment'!$Z$104*VLOOKUP('ESVD - Social Value of Bio'!F28&amp;"3",'ESVD - SUMMARY TABLE'!$E$2:$G$294,3,FALSE),0)+IF('Biodiversity Assessment'!$Z$105&gt;0,'Biodiversity Assessment'!$Z$105*VLOOKUP('ESVD - Social Value of Bio'!F28&amp;"4",'ESVD - SUMMARY TABLE'!$E$2:$G$294,3,FALSE),0),IF(E28='ESVD - Land Use &amp; Climate Match'!$A$32,IF('Biodiversity Assessment'!$BD$102&gt;0,'Biodiversity Assessment'!$BD$102*VLOOKUP('ESVD - Social Value of Bio'!F28&amp;"1",'ESVD - SUMMARY TABLE'!$E$2:$G$294,3,FALSE),0)+IF('Biodiversity Assessment'!$BD$103&gt;0,'Biodiversity Assessment'!$BD$103*VLOOKUP('ESVD - Social Value of Bio'!F28&amp;"2",'ESVD - SUMMARY TABLE'!$E$2:$G$294,3,FALSE),0)+IF('Biodiversity Assessment'!$BD$104&gt;0,'Biodiversity Assessment'!$BD$104*VLOOKUP('ESVD - Social Value of Bio'!F28&amp;"3",'ESVD - SUMMARY TABLE'!$E$2:$G$294,3,FALSE),0)+IF('Biodiversity Assessment'!$BD$105&gt;0,'Biodiversity Assessment'!$BD$105*VLOOKUP('ESVD - Social Value of Bio'!F28&amp;"4",'ESVD - SUMMARY TABLE'!$E$2:$G$294,3,FALSE),0)+IF('Biodiversity Assessment'!$BD$106&gt;0,'Biodiversity Assessment'!$BD$106*VLOOKUP('ESVD - Social Value of Bio'!F28&amp;"5",'ESVD - SUMMARY TABLE'!$E$2:$G$294,3,FALSE),0),VLOOKUP('ESVD - Social Value of Bio'!F28&amp;"1",'ESVD - SUMMARY TABLE'!$E$2:$G$294,3,FALSE)))),0)</f>
        <v>0</v>
      </c>
      <c r="M28" s="123">
        <f>IFERROR(IF(E28='ESVD - Land Use &amp; Climate Match'!$A$1,IF(SUM('Biodiversity Assessment'!$O$102:$P$105)=SUM('Biodiversity Assessment'!$J$102:$M$105),IF('Biodiversity Assessment'!$O$102&gt;0,'Biodiversity Assessment'!$O$102*VLOOKUP('ESVD - Social Value of Bio'!F28&amp;"1",'ESVD - SUMMARY TABLE'!$E$2:$G$294,3,),0)+IF('Biodiversity Assessment'!$O$103&gt;0,'Biodiversity Assessment'!$O$103*VLOOKUP('ESVD - Social Value of Bio'!F28&amp;"2",'ESVD - SUMMARY TABLE'!$E$2:$G$294,3,),0)+IF('Biodiversity Assessment'!$O$104&gt;0,'Biodiversity Assessment'!$O$104*VLOOKUP('ESVD - Social Value of Bio'!F28&amp;"3",'ESVD - SUMMARY TABLE'!$E$2:$G$294,3,),0)+IF('Biodiversity Assessment'!$O$105&gt;0,'Biodiversity Assessment'!$O$105*VLOOKUP('ESVD - Social Value of Bio'!F28&amp;"4",'ESVD - SUMMARY TABLE'!$E$2:$G$294,3,),0),0),IF(E28='ESVD - Land Use &amp; Climate Match'!$A$11,IF(SUM('Biodiversity Assessment'!$AH$102:$AN$105)=SUM('Biodiversity Assessment'!$Z$102:$AF$105),IF('Biodiversity Assessment'!$AH$102&gt;0,'Biodiversity Assessment'!$AH$102*VLOOKUP('ESVD - Social Value of Bio'!F28&amp;"1",'ESVD - SUMMARY TABLE'!$E$2:$G$294,3,FALSE),0)+IF('Biodiversity Assessment'!$AH$103&gt;0,'Biodiversity Assessment'!$AH$103*VLOOKUP('ESVD - Social Value of Bio'!F28&amp;"2",'ESVD - SUMMARY TABLE'!$E$2:$G$294,3,FALSE),0)+IF('Biodiversity Assessment'!$AH$104&gt;0,'Biodiversity Assessment'!$AH$104*VLOOKUP('ESVD - Social Value of Bio'!F28&amp;"3",'ESVD - SUMMARY TABLE'!$E$2:$G$294,3,FALSE),0)+IF('Biodiversity Assessment'!$AH$105&gt;0,'Biodiversity Assessment'!$AH$105*VLOOKUP('ESVD - Social Value of Bio'!F28&amp;"4",'ESVD - SUMMARY TABLE'!$E$2:$G$294,3,FALSE),0),0),IF(E28='ESVD - Land Use &amp; Climate Match'!$A$32,IF(SUM('Biodiversity Assessment'!$BF$102:$BF$106)=SUM('Biodiversity Assessment'!$BD$102:$BD$106),IF('Biodiversity Assessment'!$BF$102&gt;0,'Biodiversity Assessment'!$BF$102*VLOOKUP('ESVD - Social Value of Bio'!F28&amp;"1",'ESVD - SUMMARY TABLE'!$E$2:$G$294,3,FALSE),0)+IF('Biodiversity Assessment'!$BF$103&gt;0,'Biodiversity Assessment'!$BF$103*VLOOKUP('ESVD - Social Value of Bio'!F28&amp;"2",'ESVD - SUMMARY TABLE'!$E$2:$G$294,3,FALSE),0)+IF('Biodiversity Assessment'!$BF$104&gt;0,'Biodiversity Assessment'!$BF$104*VLOOKUP('ESVD - Social Value of Bio'!F28&amp;"3",'ESVD - SUMMARY TABLE'!$E$2:$G$294,3,FALSE),0)+IF('Biodiversity Assessment'!$BF$105&gt;0,'Biodiversity Assessment'!$BF$105*VLOOKUP('ESVD - Social Value of Bio'!F28&amp;"4",'ESVD - SUMMARY TABLE'!$E$2:$G$294,3,FALSE),0)+IF('Biodiversity Assessment'!$BF$106&gt;0,'Biodiversity Assessment'!$BF$106*VLOOKUP('ESVD - Social Value of Bio'!F28&amp;"5",'ESVD - SUMMARY TABLE'!$E$2:$G$294,3,FALSE),0),0),VLOOKUP('ESVD - Social Value of Bio'!F28&amp;"1",'ESVD - SUMMARY TABLE'!$E$2:$G$294,3,FALSE)))),0)</f>
        <v>0</v>
      </c>
      <c r="N28" s="123">
        <f>'Biodiversity Assessment'!CR43</f>
        <v>0</v>
      </c>
      <c r="O28" s="124">
        <f>IFERROR(IF(N28&gt;0,N28*'Biodiversity Assessment'!M43,IF(M28&gt;0,M28*'Biodiversity Assessment'!M43,L28*'Biodiversity Assessment'!M43)),0)</f>
        <v>0</v>
      </c>
      <c r="P28" s="456"/>
      <c r="R28" s="108" t="str">
        <f>'Biodiversity Assessment'!O43</f>
        <v>Select land use</v>
      </c>
      <c r="S28" s="109" t="str">
        <f>IF(OR(R28=Data!$E$4,R28=Data!$E$5,R28=Data!$E$6,R28=Data!$E$7),Data!$E$4,IF(OR(R28=Data!$E$9,R28=Data!$E$10,R28=Data!$E$11),Data!$E$9,IF(OR(R28=Data!$E$12,R28=Data!$E$13,R28=Data!$E$14),"Cropland",IF(OR(R28=Data!$E$16,R28=Data!$E$17),"Agroforestry",R28))))</f>
        <v>Select land use</v>
      </c>
      <c r="T28" s="109" t="str">
        <f t="shared" si="1"/>
        <v>Please selectPlease selectSelect land use</v>
      </c>
      <c r="U28" s="122">
        <f>IFERROR(IF(S28='ESVD - Land Use &amp; Climate Match'!$A$1,IF('Biodiversity Assessment'!$J$102&gt;0,'Biodiversity Assessment'!$J$102*VLOOKUP('ESVD - Social Value of Bio'!T28&amp;"1",'ESVD - SUMMARY TABLE'!$E$2:$G$294,3,),0)+IF('Biodiversity Assessment'!$J$103&gt;0,'Biodiversity Assessment'!$J$103*VLOOKUP('ESVD - Social Value of Bio'!T28&amp;"2",'ESVD - SUMMARY TABLE'!$E$2:$G$294,3,),0)+IF('Biodiversity Assessment'!$J$104&gt;0,'Biodiversity Assessment'!$J$104*VLOOKUP('ESVD - Social Value of Bio'!T28&amp;"3",'ESVD - SUMMARY TABLE'!$E$2:$G$294,3,),0)+IF('Biodiversity Assessment'!$J$105&gt;0,'Biodiversity Assessment'!$J$105*VLOOKUP('ESVD - Social Value of Bio'!T28&amp;"4",'ESVD - SUMMARY TABLE'!$E$2:$G$294,3,),0),IF(S28='ESVD - Land Use &amp; Climate Match'!$A$11,IF('Biodiversity Assessment'!$Z$102&gt;0,'Biodiversity Assessment'!$Z$102*VLOOKUP('ESVD - Social Value of Bio'!T28&amp;"1",'ESVD - SUMMARY TABLE'!$E$2:$G$294,3,FALSE),0)+IF('Biodiversity Assessment'!$Z$103&gt;0,'Biodiversity Assessment'!$Z$103*VLOOKUP('ESVD - Social Value of Bio'!T28&amp;"2",'ESVD - SUMMARY TABLE'!$E$2:$G$294,3,FALSE),0)+IF('Biodiversity Assessment'!$Z$104&gt;0,'Biodiversity Assessment'!$Z$104*VLOOKUP('ESVD - Social Value of Bio'!T28&amp;"3",'ESVD - SUMMARY TABLE'!$E$2:$G$294,3,FALSE),0)+IF('Biodiversity Assessment'!$Z$105&gt;0,'Biodiversity Assessment'!$Z$105*VLOOKUP('ESVD - Social Value of Bio'!T28&amp;"4",'ESVD - SUMMARY TABLE'!$E$2:$G$294,3,FALSE),0),IF(S28='ESVD - Land Use &amp; Climate Match'!$A$32,IF('Biodiversity Assessment'!$BD$102&gt;0,'Biodiversity Assessment'!$BD$102*VLOOKUP('ESVD - Social Value of Bio'!T28&amp;"1",'ESVD - SUMMARY TABLE'!$E$2:$G$294,3,FALSE),0)+IF('Biodiversity Assessment'!$BD$103&gt;0,'Biodiversity Assessment'!$BD$103*VLOOKUP('ESVD - Social Value of Bio'!T28&amp;"2",'ESVD - SUMMARY TABLE'!$E$2:$G$294,3,FALSE),0)+IF('Biodiversity Assessment'!$BD$104&gt;0,'Biodiversity Assessment'!$BD$104*VLOOKUP('ESVD - Social Value of Bio'!T28&amp;"3",'ESVD - SUMMARY TABLE'!$E$2:$G$294,3,FALSE),0)+IF('Biodiversity Assessment'!$BD$105&gt;0,'Biodiversity Assessment'!$BD$105*VLOOKUP('ESVD - Social Value of Bio'!T28&amp;"4",'ESVD - SUMMARY TABLE'!$E$2:$G$294,3,FALSE),0)+IF('Biodiversity Assessment'!$BD$106&gt;0,'Biodiversity Assessment'!$BD$106*VLOOKUP('ESVD - Social Value of Bio'!T28&amp;"5",'ESVD - SUMMARY TABLE'!$E$2:$G$294,3,FALSE),0),AVERAGE(IF('Biodiversity Assessment'!$J$102&gt;0,'Biodiversity Assessment'!$J$102*VLOOKUP(CONCATENATE(B28,C28,'ESVD - Land Use &amp; Climate Match'!$A$1)&amp;"1",'ESVD - SUMMARY TABLE'!$E$2:$G$294,3,),0)+IF('Biodiversity Assessment'!$J$103&gt;0,'Biodiversity Assessment'!$J$103*VLOOKUP(CONCATENATE(B28,C28,'ESVD - Land Use &amp; Climate Match'!$A$1)&amp;"2",'ESVD - SUMMARY TABLE'!$E$2:$G$294,3,),0)+IF('Biodiversity Assessment'!$J$104&gt;0,'Biodiversity Assessment'!$J$104*VLOOKUP(CONCATENATE(B28,C28,'ESVD - Land Use &amp; Climate Match'!$A$1)&amp;"3",'ESVD - SUMMARY TABLE'!$E$2:$G$294,3,),0)+IF('Biodiversity Assessment'!$J$105&gt;0,'Biodiversity Assessment'!$J$105*VLOOKUP(CONCATENATE(B28,C28,'ESVD - Land Use &amp; Climate Match'!$A$1)&amp;"4",'ESVD - SUMMARY TABLE'!$E$2:$G$294,3,),0),IF('Biodiversity Assessment'!$Z$102&gt;0,'Biodiversity Assessment'!$Z$102*VLOOKUP(CONCATENATE(B28,C28,'ESVD - Land Use &amp; Climate Match'!$A$11)&amp;"1",'ESVD - SUMMARY TABLE'!$E$2:$G$294,3,FALSE),0)+IF('Biodiversity Assessment'!$Z$103&gt;0,'Biodiversity Assessment'!$Z$103*VLOOKUP(CONCATENATE(B28,C28,'ESVD - Land Use &amp; Climate Match'!$A$11)&amp;"2",'ESVD - SUMMARY TABLE'!$E$2:$G$294,3,FALSE),0)+IF('Biodiversity Assessment'!$Z$104&gt;0,'Biodiversity Assessment'!$Z$104*VLOOKUP(CONCATENATE(B28,C28,'ESVD - Land Use &amp; Climate Match'!$A$11)&amp;"3",'ESVD - SUMMARY TABLE'!$E$2:$G$294,3,FALSE),0)+IF('Biodiversity Assessment'!$Z$105&gt;0,'Biodiversity Assessment'!$Z$105*VLOOKUP(CONCATENATE(B28,C28,'ESVD - Land Use &amp; Climate Match'!$A$11)&amp;"4",'ESVD - SUMMARY TABLE'!$E$2:$G$294,3,FALSE),0),IF('Biodiversity Assessment'!$BD$102&gt;0,'Biodiversity Assessment'!$BD$102*VLOOKUP(CONCATENATE(B28,C28,'ESVD - Land Use &amp; Climate Match'!$A$32)&amp;"1",'ESVD - SUMMARY TABLE'!$E$2:$G$294,3,FALSE),0)+IF('Biodiversity Assessment'!$BD$103&gt;0,'Biodiversity Assessment'!$BD$103*VLOOKUP(CONCATENATE(B28,C28,'ESVD - Land Use &amp; Climate Match'!$A$32)&amp;"2",'ESVD - SUMMARY TABLE'!$E$2:$G$294,3,FALSE),0)+IF('Biodiversity Assessment'!$BD$104&gt;0,'Biodiversity Assessment'!$BD$104*VLOOKUP(CONCATENATE(B28,C28,'ESVD - Land Use &amp; Climate Match'!$A$32)&amp;"3",'ESVD - SUMMARY TABLE'!$E$2:$G$294,3,FALSE),0)+IF('Biodiversity Assessment'!$BD$105&gt;0,'Biodiversity Assessment'!$BD$105*VLOOKUP(CONCATENATE(B28,C28,'ESVD - Land Use &amp; Climate Match'!$A$32)&amp;"4",'ESVD - SUMMARY TABLE'!$E$2:$G$294,3,FALSE),0)+IF('Biodiversity Assessment'!$BD$106&gt;0,'Biodiversity Assessment'!$BD$106*VLOOKUP(CONCATENATE(B28,C28,'ESVD - Land Use &amp; Climate Match'!$A$32)&amp;"5",'ESVD - SUMMARY TABLE'!$E$2:$G$294,3,FALSE)))))),0)</f>
        <v>0</v>
      </c>
      <c r="V28" s="122">
        <f>IFERROR(IF(S28='ESVD - Land Use &amp; Climate Match'!$A$1,IF(SUM('Biodiversity Assessment'!$O$102:$P$105)=SUM('Biodiversity Assessment'!$J$102:$M$105),IF('Biodiversity Assessment'!$O$102&gt;0,'Biodiversity Assessment'!$O$102*VLOOKUP('ESVD - Social Value of Bio'!T28&amp;"1",'ESVD - SUMMARY TABLE'!$E$2:$G$294,3,),0)+IF('Biodiversity Assessment'!$O$103&gt;0,'Biodiversity Assessment'!$O$103*VLOOKUP('ESVD - Social Value of Bio'!T28&amp;"2",'ESVD - SUMMARY TABLE'!$E$2:$G$294,3,),0)+IF('Biodiversity Assessment'!$O$104&gt;0,'Biodiversity Assessment'!$O$104*VLOOKUP('ESVD - Social Value of Bio'!T28&amp;"3",'ESVD - SUMMARY TABLE'!$E$2:$G$294,3,),0)+IF('Biodiversity Assessment'!$O$105&gt;0,'Biodiversity Assessment'!$O$105*VLOOKUP('ESVD - Social Value of Bio'!T28&amp;"4",'ESVD - SUMMARY TABLE'!$E$2:$G$294,3,),0),0),IF(S28='ESVD - Land Use &amp; Climate Match'!$A$11,IF(SUM('Biodiversity Assessment'!$AH$102:$AN$105)=SUM('Biodiversity Assessment'!$Z$102:$AF$105),IF('Biodiversity Assessment'!$AH$102&gt;0,'Biodiversity Assessment'!$AH$102*VLOOKUP('ESVD - Social Value of Bio'!T28&amp;"1",'ESVD - SUMMARY TABLE'!$E$2:$G$294,3,FALSE),0)+IF('Biodiversity Assessment'!$AH$103&gt;0,'Biodiversity Assessment'!$AH$103*VLOOKUP('ESVD - Social Value of Bio'!T28&amp;"2",'ESVD - SUMMARY TABLE'!$E$2:$G$294,3,FALSE),0)+IF('Biodiversity Assessment'!$AH$104&gt;0,'Biodiversity Assessment'!$AH$104*VLOOKUP('ESVD - Social Value of Bio'!T28&amp;"3",'ESVD - SUMMARY TABLE'!$E$2:$G$294,3,FALSE),0)+IF('Biodiversity Assessment'!$AH$105&gt;0,'Biodiversity Assessment'!$AH$105*VLOOKUP('ESVD - Social Value of Bio'!T28&amp;"4",'ESVD - SUMMARY TABLE'!$E$2:$G$294,3,FALSE),0),0),IF(S28='ESVD - Land Use &amp; Climate Match'!$A$32,IF(SUM('Biodiversity Assessment'!$BF$102:$BF$106)=SUM('Biodiversity Assessment'!$BD$102:$BD$106),IF('Biodiversity Assessment'!$BF$102&gt;0,'Biodiversity Assessment'!$BF$102*VLOOKUP('ESVD - Social Value of Bio'!T28&amp;"1",'ESVD - SUMMARY TABLE'!$E$2:$G$294,3,FALSE),0)+IF('Biodiversity Assessment'!$BF$103&gt;0,'Biodiversity Assessment'!$BF$103*VLOOKUP('ESVD - Social Value of Bio'!T28&amp;"2",'ESVD - SUMMARY TABLE'!$E$2:$G$294,3,FALSE),0)+IF('Biodiversity Assessment'!$BF$104&gt;0,'Biodiversity Assessment'!$BF$104*VLOOKUP('ESVD - Social Value of Bio'!T28&amp;"3",'ESVD - SUMMARY TABLE'!$E$2:$G$294,3,FALSE),0)+IF('Biodiversity Assessment'!$BF$105&gt;0,'Biodiversity Assessment'!$BF$105*VLOOKUP('ESVD - Social Value of Bio'!T28&amp;"4",'ESVD - SUMMARY TABLE'!$E$2:$G$294,3,FALSE),0)+IF('Biodiversity Assessment'!$BF$106&gt;0,'Biodiversity Assessment'!$BF$106*VLOOKUP('ESVD - Social Value of Bio'!T28&amp;"5",'ESVD - SUMMARY TABLE'!$E$2:$G$294,3,FALSE),0),0),AVERAGE(IF(SUM('Biodiversity Assessment'!$O$102:$P$105)=SUM('Biodiversity Assessment'!$J$102:$M$105),IF('Biodiversity Assessment'!$O$102&gt;0,'Biodiversity Assessment'!$O$102*VLOOKUP(CONCATENATE($B28,$C28,'ESVD - Land Use &amp; Climate Match'!$A$1)&amp;"1",'ESVD - SUMMARY TABLE'!$E$2:$G$294,3,),0)+IF('Biodiversity Assessment'!$O$103&gt;0,'Biodiversity Assessment'!$O$103*VLOOKUP(CONCATENATE($B28,$C28,'ESVD - Land Use &amp; Climate Match'!$A$1)&amp;"2",'ESVD - SUMMARY TABLE'!$E$2:$G$294,3,),0)+IF('Biodiversity Assessment'!$O$104&gt;0,'Biodiversity Assessment'!$O$104*VLOOKUP(CONCATENATE($B28,$C28,'ESVD - Land Use &amp; Climate Match'!$A$1)&amp;"3",'ESVD - SUMMARY TABLE'!$E$2:$G$294,3,),0)+IF('Biodiversity Assessment'!$O$105&gt;0,'Biodiversity Assessment'!$O$105*VLOOKUP(CONCATENATE($B28,$C28,'ESVD - Land Use &amp; Climate Match'!$A$1)&amp;"4",'ESVD - SUMMARY TABLE'!$E$2:$G$294,3,),0),0),IF(SUM('Biodiversity Assessment'!$AH$102:$AN$105)=SUM('Biodiversity Assessment'!$Z$102:$AF$105),IF('Biodiversity Assessment'!$AH$102&gt;0,'Biodiversity Assessment'!$AH$102*VLOOKUP(CONCATENATE($B28,$C28,'ESVD - Land Use &amp; Climate Match'!$A$11)&amp;"1",'ESVD - SUMMARY TABLE'!$E$2:$G$294,3,FALSE),0)+IF('Biodiversity Assessment'!$AH$103&gt;0,'Biodiversity Assessment'!$AH$103*VLOOKUP(CONCATENATE($B28,$C28,'ESVD - Land Use &amp; Climate Match'!$A$11)&amp;"2",'ESVD - SUMMARY TABLE'!$E$2:$G$294,3,FALSE),0)+IF('Biodiversity Assessment'!$AH$104&gt;0,'Biodiversity Assessment'!$AH$104*VLOOKUP(CONCATENATE($B28,$C28,'ESVD - Land Use &amp; Climate Match'!$A$11)&amp;"3",'ESVD - SUMMARY TABLE'!$E$2:$G$294,3,FALSE),0)+IF('Biodiversity Assessment'!$AH$105&gt;0,'Biodiversity Assessment'!$AH$105*VLOOKUP(CONCATENATE($B28,$C28,'ESVD - Land Use &amp; Climate Match'!$A$11)&amp;"4",'ESVD - SUMMARY TABLE'!$E$2:$G$294,3,FALSE),0),0),IF(SUM('Biodiversity Assessment'!$BF$102:$BF$106)=SUM('Biodiversity Assessment'!$BD$102:$BD$106),IF('Biodiversity Assessment'!$BF$102&gt;0,'Biodiversity Assessment'!$BF$102*VLOOKUP(CONCATENATE($B28,$C28,'ESVD - Land Use &amp; Climate Match'!$A$32)&amp;"1",'ESVD - SUMMARY TABLE'!$E$2:$G$294,3,FALSE),0)+IF('Biodiversity Assessment'!$BF$103&gt;0,'Biodiversity Assessment'!$BF$103*VLOOKUP(CONCATENATE($B28,$C28,'ESVD - Land Use &amp; Climate Match'!$A$32)&amp;"2",'ESVD - SUMMARY TABLE'!$E$2:$G$294,3,FALSE),0)+IF('Biodiversity Assessment'!$BF$104&gt;0,'Biodiversity Assessment'!$BF$104*VLOOKUP(CONCATENATE($B28,$C28,'ESVD - Land Use &amp; Climate Match'!$A$32)&amp;"3",'ESVD - SUMMARY TABLE'!$E$2:$G$294,3,FALSE),0)+IF('Biodiversity Assessment'!$BF$105&gt;0,'Biodiversity Assessment'!$BF$105*VLOOKUP(CONCATENATE($B28,$C28,'ESVD - Land Use &amp; Climate Match'!$A$32)&amp;"4",'ESVD - SUMMARY TABLE'!$E$2:$G$294,3,FALSE),0)+IF('Biodiversity Assessment'!$BF$106&gt;0,'Biodiversity Assessment'!$BF$106*VLOOKUP(CONCATENATE($B28,$C28,'ESVD - Land Use &amp; Climate Match'!$A$32)&amp;"5",'ESVD - SUMMARY TABLE'!$E$2:$G$294,3,FALSE),0),0))))),0)</f>
        <v>0</v>
      </c>
      <c r="W28" s="122">
        <f>'Biodiversity Assessment'!CX43</f>
        <v>0</v>
      </c>
      <c r="X28" s="122">
        <f>IFERROR(IF(W28&gt;0,W28*'Biodiversity Assessment'!$U43,IF(V28&gt;0,V28*'Biodiversity Assessment'!$U43,U28*'Biodiversity Assessment'!$U43)),0)</f>
        <v>0</v>
      </c>
      <c r="Y28" s="454"/>
      <c r="Z28" s="123">
        <f>IFERROR(IF(S28='ESVD - Land Use &amp; Climate Match'!$A$1,IF('Biodiversity Assessment'!$J$102&gt;0,'Biodiversity Assessment'!$J$102*VLOOKUP('ESVD - Social Value of Bio'!T28&amp;"1",'ESVD - SUMMARY TABLE'!$E$2:$G$294,3,),0)+IF('Biodiversity Assessment'!$J$103&gt;0,'Biodiversity Assessment'!$J$103*VLOOKUP('ESVD - Social Value of Bio'!T28&amp;"2",'ESVD - SUMMARY TABLE'!$E$2:$G$294,3,),0)+IF('Biodiversity Assessment'!$J$104&gt;0,'Biodiversity Assessment'!$J$104*VLOOKUP('ESVD - Social Value of Bio'!T28&amp;"3",'ESVD - SUMMARY TABLE'!$E$2:$G$294,3,),0)+IF('Biodiversity Assessment'!$J$105&gt;0,'Biodiversity Assessment'!$J$105*VLOOKUP('ESVD - Social Value of Bio'!T28&amp;"4",'ESVD - SUMMARY TABLE'!$E$2:$G$294,3,),0),IF(S28='ESVD - Land Use &amp; Climate Match'!$A$11,IF('Biodiversity Assessment'!$Z$102&gt;0,'Biodiversity Assessment'!$Z$102*VLOOKUP('ESVD - Social Value of Bio'!T28&amp;"1",'ESVD - SUMMARY TABLE'!$E$2:$G$294,3,FALSE),0)+IF('Biodiversity Assessment'!$Z$103&gt;0,'Biodiversity Assessment'!$Z$103*VLOOKUP('ESVD - Social Value of Bio'!T28&amp;"2",'ESVD - SUMMARY TABLE'!$E$2:$G$294,3,FALSE),0)+IF('Biodiversity Assessment'!$Z$104&gt;0,'Biodiversity Assessment'!$Z$104*VLOOKUP('ESVD - Social Value of Bio'!T28&amp;"3",'ESVD - SUMMARY TABLE'!$E$2:$G$294,3,FALSE),0)+IF('Biodiversity Assessment'!$Z$105&gt;0,'Biodiversity Assessment'!$Z$105*VLOOKUP('ESVD - Social Value of Bio'!T28&amp;"4",'ESVD - SUMMARY TABLE'!$E$2:$G$294,3,FALSE),0),IF(S28='ESVD - Land Use &amp; Climate Match'!$A$32,IF('Biodiversity Assessment'!$BD$102&gt;0,'Biodiversity Assessment'!$BD$102*VLOOKUP('ESVD - Social Value of Bio'!T28&amp;"1",'ESVD - SUMMARY TABLE'!$E$2:$G$294,3,FALSE),0)+IF('Biodiversity Assessment'!$BD$103&gt;0,'Biodiversity Assessment'!$BD$103*VLOOKUP('ESVD - Social Value of Bio'!T28&amp;"2",'ESVD - SUMMARY TABLE'!$E$2:$G$294,3,FALSE),0)+IF('Biodiversity Assessment'!$BD$104&gt;0,'Biodiversity Assessment'!$BD$104*VLOOKUP('ESVD - Social Value of Bio'!T28&amp;"3",'ESVD - SUMMARY TABLE'!$E$2:$G$294,3,FALSE),0)+IF('Biodiversity Assessment'!$BD$105&gt;0,'Biodiversity Assessment'!$BD$105*VLOOKUP('ESVD - Social Value of Bio'!T28&amp;"4",'ESVD - SUMMARY TABLE'!$E$2:$G$294,3,FALSE),0)+IF('Biodiversity Assessment'!$BD$106&gt;0,'Biodiversity Assessment'!$BD$106*VLOOKUP('ESVD - Social Value of Bio'!T28&amp;"5",'ESVD - SUMMARY TABLE'!$E$2:$G$294,3,FALSE),0),VLOOKUP('ESVD - Social Value of Bio'!T28&amp;"1",'ESVD - SUMMARY TABLE'!$E$2:$G$294,3,FALSE)))),0)</f>
        <v>0</v>
      </c>
      <c r="AA28" s="123">
        <f>IFERROR(IF(S28='ESVD - Land Use &amp; Climate Match'!$A$1,IF(SUM('Biodiversity Assessment'!$O$102:$P$105)=SUM('Biodiversity Assessment'!$J$102:$M$105),IF('Biodiversity Assessment'!$O$102&gt;0,'Biodiversity Assessment'!$O$102*VLOOKUP('ESVD - Social Value of Bio'!T28&amp;"1",'ESVD - SUMMARY TABLE'!$E$2:$G$294,3,),0)+IF('Biodiversity Assessment'!$O$103&gt;0,'Biodiversity Assessment'!$O$103*VLOOKUP('ESVD - Social Value of Bio'!T28&amp;"2",'ESVD - SUMMARY TABLE'!$E$2:$G$294,3,),0)+IF('Biodiversity Assessment'!$O$104&gt;0,'Biodiversity Assessment'!$O$104*VLOOKUP('ESVD - Social Value of Bio'!T28&amp;"3",'ESVD - SUMMARY TABLE'!$E$2:$G$294,3,),0)+IF('Biodiversity Assessment'!$O$105&gt;0,'Biodiversity Assessment'!$O$105*VLOOKUP('ESVD - Social Value of Bio'!T28&amp;"4",'ESVD - SUMMARY TABLE'!$E$2:$G$294,3,),0),0),IF(S28='ESVD - Land Use &amp; Climate Match'!$A$11,IF(SUM('Biodiversity Assessment'!$AH$102:$AN$105)=SUM('Biodiversity Assessment'!$Z$102:$AF$105),IF('Biodiversity Assessment'!$AH$102&gt;0,'Biodiversity Assessment'!$AH$102*VLOOKUP('ESVD - Social Value of Bio'!T28&amp;"1",'ESVD - SUMMARY TABLE'!$E$2:$G$294,3,FALSE),0)+IF('Biodiversity Assessment'!$AH$103&gt;0,'Biodiversity Assessment'!$AH$103*VLOOKUP('ESVD - Social Value of Bio'!T28&amp;"2",'ESVD - SUMMARY TABLE'!$E$2:$G$294,3,FALSE),0)+IF('Biodiversity Assessment'!$AH$104&gt;0,'Biodiversity Assessment'!$AH$104*VLOOKUP('ESVD - Social Value of Bio'!T28&amp;"3",'ESVD - SUMMARY TABLE'!$E$2:$G$294,3,FALSE),0)+IF('Biodiversity Assessment'!$AH$105&gt;0,'Biodiversity Assessment'!$AH$105*VLOOKUP('ESVD - Social Value of Bio'!T28&amp;"4",'ESVD - SUMMARY TABLE'!$E$2:$G$294,3,FALSE),0),0),IF(S28='ESVD - Land Use &amp; Climate Match'!$A$32,IF(SUM('Biodiversity Assessment'!$BF$102:$BF$106)=SUM('Biodiversity Assessment'!$BD$102:$BD$106),IF('Biodiversity Assessment'!$BF$102&gt;0,'Biodiversity Assessment'!$BF$102*VLOOKUP('ESVD - Social Value of Bio'!T28&amp;"1",'ESVD - SUMMARY TABLE'!$E$2:$G$294,3,FALSE),0)+IF('Biodiversity Assessment'!$BF$103&gt;0,'Biodiversity Assessment'!$BF$103*VLOOKUP('ESVD - Social Value of Bio'!T28&amp;"2",'ESVD - SUMMARY TABLE'!$E$2:$G$294,3,FALSE),0)+IF('Biodiversity Assessment'!$BF$104&gt;0,'Biodiversity Assessment'!$BF$104*VLOOKUP('ESVD - Social Value of Bio'!T28&amp;"3",'ESVD - SUMMARY TABLE'!$E$2:$G$294,3,FALSE),0)+IF('Biodiversity Assessment'!$BF$105&gt;0,'Biodiversity Assessment'!$BF$105*VLOOKUP('ESVD - Social Value of Bio'!T28&amp;"4",'ESVD - SUMMARY TABLE'!$E$2:$G$294,3,FALSE),0)+IF('Biodiversity Assessment'!$BF$106&gt;0,'Biodiversity Assessment'!$BF$106*VLOOKUP('ESVD - Social Value of Bio'!T28&amp;"5",'ESVD - SUMMARY TABLE'!$E$2:$G$294,3,FALSE),0),0),VLOOKUP('ESVD - Social Value of Bio'!T28&amp;"1",'ESVD - SUMMARY TABLE'!$E$2:$G$294,3,FALSE)))),0)</f>
        <v>0</v>
      </c>
      <c r="AB28" s="123">
        <f>'Biodiversity Assessment'!CX43</f>
        <v>0</v>
      </c>
      <c r="AC28" s="124">
        <f>IFERROR(IF(AB28&gt;0,AB28*'Biodiversity Assessment'!U43,IF(AA28&gt;0,AA28*'Biodiversity Assessment'!U43,Z28*'Biodiversity Assessment'!U43)),0)</f>
        <v>0</v>
      </c>
      <c r="AD28" s="456"/>
      <c r="AG28" s="453"/>
    </row>
    <row r="29" spans="1:33" s="110" customFormat="1" ht="10.5" x14ac:dyDescent="0.25">
      <c r="A29" s="107" t="s">
        <v>404</v>
      </c>
      <c r="B29" s="108" t="str">
        <f>IF(Start!$D$28&gt;1000,CONCATENATE(Start!$D$20," Mountain"),Start!$D$20)</f>
        <v>Please select</v>
      </c>
      <c r="C29" s="108" t="str">
        <f>Start!$D$24</f>
        <v>Please select</v>
      </c>
      <c r="D29" s="109" t="str">
        <f>'Biodiversity Assessment'!G44</f>
        <v>Select land use</v>
      </c>
      <c r="E29" s="109" t="str">
        <f>IF(OR(D29=Data!$E$4,D29=Data!$E$5,D29=Data!$E$6,D29=Data!$E$7),Data!$E$4,IF(OR(D29=Data!$E$9,D29=Data!$E$10,D29=Data!$E$11),Data!$E$9,IF(OR(D29=Data!$E$12,D29=Data!$E$13,D29=Data!$E$14),"Cropland",IF(OR(D29=Data!$E$16,D29=Data!$E$17),"Agroforestry",D29))))</f>
        <v>Select land use</v>
      </c>
      <c r="F29" s="109" t="str">
        <f t="shared" si="0"/>
        <v>Please selectPlease selectSelect land use</v>
      </c>
      <c r="G29" s="122">
        <f>IFERROR(IF(E29='ESVD - Land Use &amp; Climate Match'!$A$1,IF('Biodiversity Assessment'!$J$102&gt;0,'Biodiversity Assessment'!$J$102*VLOOKUP('ESVD - Social Value of Bio'!F29&amp;"1",'ESVD - SUMMARY TABLE'!$E$2:$G$294,3,),0)+IF('Biodiversity Assessment'!$J$103&gt;0,'Biodiversity Assessment'!$J$103*VLOOKUP('ESVD - Social Value of Bio'!F29&amp;"2",'ESVD - SUMMARY TABLE'!$E$2:$G$294,3,),0)+IF('Biodiversity Assessment'!$J$104&gt;0,'Biodiversity Assessment'!$J$104*VLOOKUP('ESVD - Social Value of Bio'!F29&amp;"3",'ESVD - SUMMARY TABLE'!$E$2:$G$294,3,),0)+IF('Biodiversity Assessment'!$J$105&gt;0,'Biodiversity Assessment'!$J$105*VLOOKUP('ESVD - Social Value of Bio'!F29&amp;"4",'ESVD - SUMMARY TABLE'!$E$2:$G$294,3,),0),IF(E29='ESVD - Land Use &amp; Climate Match'!$A$11,IF('Biodiversity Assessment'!$Z$102&gt;0,'Biodiversity Assessment'!$Z$102*VLOOKUP('ESVD - Social Value of Bio'!F29&amp;"1",'ESVD - SUMMARY TABLE'!$E$2:$G$294,3,FALSE),0)+IF('Biodiversity Assessment'!$Z$103&gt;0,'Biodiversity Assessment'!$Z$103*VLOOKUP('ESVD - Social Value of Bio'!F29&amp;"2",'ESVD - SUMMARY TABLE'!$E$2:$G$294,3,FALSE),0)+IF('Biodiversity Assessment'!$Z$104&gt;0,'Biodiversity Assessment'!$Z$104*VLOOKUP('ESVD - Social Value of Bio'!F29&amp;"3",'ESVD - SUMMARY TABLE'!$E$2:$G$294,3,FALSE),0)+IF('Biodiversity Assessment'!$Z$105&gt;0,'Biodiversity Assessment'!$Z$105*VLOOKUP('ESVD - Social Value of Bio'!F29&amp;"4",'ESVD - SUMMARY TABLE'!$E$2:$G$294,3,FALSE),0),IF(E29='ESVD - Land Use &amp; Climate Match'!$A$32,IF('Biodiversity Assessment'!$BD$102&gt;0,'Biodiversity Assessment'!$BD$102*VLOOKUP('ESVD - Social Value of Bio'!F29&amp;"1",'ESVD - SUMMARY TABLE'!$E$2:$G$294,3,FALSE),0)+IF('Biodiversity Assessment'!$BD$103&gt;0,'Biodiversity Assessment'!$BD$103*VLOOKUP('ESVD - Social Value of Bio'!F29&amp;"2",'ESVD - SUMMARY TABLE'!$E$2:$G$294,3,FALSE),0)+IF('Biodiversity Assessment'!$BD$104&gt;0,'Biodiversity Assessment'!$BD$104*VLOOKUP('ESVD - Social Value of Bio'!F29&amp;"3",'ESVD - SUMMARY TABLE'!$E$2:$G$294,3,FALSE),0)+IF('Biodiversity Assessment'!$BD$105&gt;0,'Biodiversity Assessment'!$BD$105*VLOOKUP('ESVD - Social Value of Bio'!F29&amp;"4",'ESVD - SUMMARY TABLE'!$E$2:$G$294,3,FALSE),0)+IF('Biodiversity Assessment'!$BD$106&gt;0,'Biodiversity Assessment'!$BD$106*VLOOKUP('ESVD - Social Value of Bio'!F29&amp;"5",'ESVD - SUMMARY TABLE'!$E$2:$G$294,3,FALSE),0),AVERAGE(IF('Biodiversity Assessment'!$J$102&gt;0,'Biodiversity Assessment'!$J$102*VLOOKUP(CONCATENATE($B29,$C29,'ESVD - Land Use &amp; Climate Match'!$A$1)&amp;"1",'ESVD - SUMMARY TABLE'!$E$2:$G$294,3,),0)+IF('Biodiversity Assessment'!$J$103&gt;0,'Biodiversity Assessment'!$J$103*VLOOKUP(CONCATENATE($B29,$C29,'ESVD - Land Use &amp; Climate Match'!$A$1)&amp;"2",'ESVD - SUMMARY TABLE'!$E$2:$G$294,3,),0)+IF('Biodiversity Assessment'!$J$104&gt;0,'Biodiversity Assessment'!$J$104*VLOOKUP(CONCATENATE($B29,$C29,'ESVD - Land Use &amp; Climate Match'!$A$1)&amp;"3",'ESVD - SUMMARY TABLE'!$E$2:$G$294,3,),0)+IF('Biodiversity Assessment'!$J$105&gt;0,'Biodiversity Assessment'!$J$105*VLOOKUP(CONCATENATE($B29,$C29,'ESVD - Land Use &amp; Climate Match'!$A$1)&amp;"4",'ESVD - SUMMARY TABLE'!$E$2:$G$294,3,),0),IF('Biodiversity Assessment'!$Z$102&gt;0,'Biodiversity Assessment'!$Z$102*VLOOKUP(CONCATENATE($B29,$C29,'ESVD - Land Use &amp; Climate Match'!$A$11)&amp;"1",'ESVD - SUMMARY TABLE'!$E$2:$G$294,3,FALSE),0)+IF('Biodiversity Assessment'!$Z$103&gt;0,'Biodiversity Assessment'!$Z$103*VLOOKUP(CONCATENATE($B29,$C29,'ESVD - Land Use &amp; Climate Match'!$A$11)&amp;"2",'ESVD - SUMMARY TABLE'!$E$2:$G$294,3,FALSE),0)+IF('Biodiversity Assessment'!$Z$104&gt;0,'Biodiversity Assessment'!$Z$104*VLOOKUP(CONCATENATE($B29,$C29,'ESVD - Land Use &amp; Climate Match'!$A$11)&amp;"3",'ESVD - SUMMARY TABLE'!$E$2:$G$294,3,FALSE),0)+IF('Biodiversity Assessment'!$Z$105&gt;0,'Biodiversity Assessment'!$Z$105*VLOOKUP(CONCATENATE($B29,$C29,'ESVD - Land Use &amp; Climate Match'!$A$11)&amp;"4",'ESVD - SUMMARY TABLE'!$E$2:$G$294,3,FALSE),0),IF('Biodiversity Assessment'!$BD$102&gt;0,'Biodiversity Assessment'!$BD$102*VLOOKUP(CONCATENATE($B29,$C29,'ESVD - Land Use &amp; Climate Match'!$A$32)&amp;"1",'ESVD - SUMMARY TABLE'!$E$2:$G$294,3,FALSE),0)+IF('Biodiversity Assessment'!$BD$103&gt;0,'Biodiversity Assessment'!$BD$103*VLOOKUP(CONCATENATE($B29,$C29,'ESVD - Land Use &amp; Climate Match'!$A$32)&amp;"2",'ESVD - SUMMARY TABLE'!$E$2:$G$294,3,FALSE),0)+IF('Biodiversity Assessment'!$BD$104&gt;0,'Biodiversity Assessment'!$BD$104*VLOOKUP(CONCATENATE($B29,$C29,'ESVD - Land Use &amp; Climate Match'!$A$32)&amp;"3",'ESVD - SUMMARY TABLE'!$E$2:$G$294,3,FALSE),0)+IF('Biodiversity Assessment'!$BD$105&gt;0,'Biodiversity Assessment'!$BD$105*VLOOKUP(CONCATENATE($B29,$C29,'ESVD - Land Use &amp; Climate Match'!$A$32)&amp;"4",'ESVD - SUMMARY TABLE'!$E$2:$G$294,3,FALSE),0)+IF('Biodiversity Assessment'!$BD$106&gt;0,'Biodiversity Assessment'!$BD$106*VLOOKUP(CONCATENATE($B29,$C29,'ESVD - Land Use &amp; Climate Match'!$A$32)&amp;"5",'ESVD - SUMMARY TABLE'!$E$2:$G$294,3,FALSE)))))),0)</f>
        <v>0</v>
      </c>
      <c r="H29" s="122">
        <f>IFERROR(IF(E29='ESVD - Land Use &amp; Climate Match'!$A$1,IF(SUM('Biodiversity Assessment'!$O$102:$P$105)=SUM('Biodiversity Assessment'!$J$102:$M$105),IF('Biodiversity Assessment'!$O$102&gt;0,'Biodiversity Assessment'!$O$102*VLOOKUP('ESVD - Social Value of Bio'!F29&amp;"1",'ESVD - SUMMARY TABLE'!$E$2:$G$294,3,),0)+IF('Biodiversity Assessment'!$O$103&gt;0,'Biodiversity Assessment'!$O$103*VLOOKUP('ESVD - Social Value of Bio'!F29&amp;"2",'ESVD - SUMMARY TABLE'!$E$2:$G$294,3,),0)+IF('Biodiversity Assessment'!$O$104&gt;0,'Biodiversity Assessment'!$O$104*VLOOKUP('ESVD - Social Value of Bio'!F29&amp;"3",'ESVD - SUMMARY TABLE'!$E$2:$G$294,3,),0)+IF('Biodiversity Assessment'!$O$105&gt;0,'Biodiversity Assessment'!$O$105*VLOOKUP('ESVD - Social Value of Bio'!F29&amp;"4",'ESVD - SUMMARY TABLE'!$E$2:$G$294,3,),0),0),IF(E29='ESVD - Land Use &amp; Climate Match'!$A$11,IF(SUM('Biodiversity Assessment'!$AH$102:$AN$105)=SUM('Biodiversity Assessment'!$Z$102:$AF$105),IF('Biodiversity Assessment'!$AH$102&gt;0,'Biodiversity Assessment'!$AH$102*VLOOKUP('ESVD - Social Value of Bio'!F29&amp;"1",'ESVD - SUMMARY TABLE'!$E$2:$G$294,3,FALSE),0)+IF('Biodiversity Assessment'!$AH$103&gt;0,'Biodiversity Assessment'!$AH$103*VLOOKUP('ESVD - Social Value of Bio'!F29&amp;"2",'ESVD - SUMMARY TABLE'!$E$2:$G$294,3,FALSE),0)+IF('Biodiversity Assessment'!$AH$104&gt;0,'Biodiversity Assessment'!$AH$104*VLOOKUP('ESVD - Social Value of Bio'!F29&amp;"3",'ESVD - SUMMARY TABLE'!$E$2:$G$294,3,FALSE),0)+IF('Biodiversity Assessment'!$AH$105&gt;0,'Biodiversity Assessment'!$AH$105*VLOOKUP('ESVD - Social Value of Bio'!F29&amp;"4",'ESVD - SUMMARY TABLE'!$E$2:$G$294,3,FALSE),0),0),IF(E29='ESVD - Land Use &amp; Climate Match'!$A$32,IF(SUM('Biodiversity Assessment'!$BF$102:$BF$106)=SUM('Biodiversity Assessment'!$BD$102:$BD$106),IF('Biodiversity Assessment'!$BF$102&gt;0,'Biodiversity Assessment'!$BF$102*VLOOKUP('ESVD - Social Value of Bio'!F29&amp;"1",'ESVD - SUMMARY TABLE'!$E$2:$G$294,3,FALSE),0)+IF('Biodiversity Assessment'!$BF$103&gt;0,'Biodiversity Assessment'!$BF$103*VLOOKUP('ESVD - Social Value of Bio'!F29&amp;"2",'ESVD - SUMMARY TABLE'!$E$2:$G$294,3,FALSE),0)+IF('Biodiversity Assessment'!$BF$104&gt;0,'Biodiversity Assessment'!$BF$104*VLOOKUP('ESVD - Social Value of Bio'!F29&amp;"3",'ESVD - SUMMARY TABLE'!$E$2:$G$294,3,FALSE),0)+IF('Biodiversity Assessment'!$BF$105&gt;0,'Biodiversity Assessment'!$BF$105*VLOOKUP('ESVD - Social Value of Bio'!F29&amp;"4",'ESVD - SUMMARY TABLE'!$E$2:$G$294,3,FALSE),0)+IF('Biodiversity Assessment'!$BF$106&gt;0,'Biodiversity Assessment'!$BF$106*VLOOKUP('ESVD - Social Value of Bio'!F29&amp;"5",'ESVD - SUMMARY TABLE'!$E$2:$G$294,3,FALSE),0),0),AVERAGE(IF(SUM('Biodiversity Assessment'!$O$102:$P$105)=SUM('Biodiversity Assessment'!$J$102:$M$105),IF('Biodiversity Assessment'!$O$102&gt;0,'Biodiversity Assessment'!$O$102*VLOOKUP(CONCATENATE($B29,$C29,'ESVD - Land Use &amp; Climate Match'!$A$1)&amp;"1",'ESVD - SUMMARY TABLE'!$E$2:$G$294,3,),0)+IF('Biodiversity Assessment'!$O$103&gt;0,'Biodiversity Assessment'!$O$103*VLOOKUP(CONCATENATE($B29,$C29,'ESVD - Land Use &amp; Climate Match'!$A$1)&amp;"2",'ESVD - SUMMARY TABLE'!$E$2:$G$294,3,),0)+IF('Biodiversity Assessment'!$O$104&gt;0,'Biodiversity Assessment'!$O$104*VLOOKUP(CONCATENATE($B29,$C29,'ESVD - Land Use &amp; Climate Match'!$A$1)&amp;"3",'ESVD - SUMMARY TABLE'!$E$2:$G$294,3,),0)+IF('Biodiversity Assessment'!$O$105&gt;0,'Biodiversity Assessment'!$O$105*VLOOKUP(CONCATENATE($B29,$C29,'ESVD - Land Use &amp; Climate Match'!$A$1)&amp;"4",'ESVD - SUMMARY TABLE'!$E$2:$G$294,3,),0),0),IF(SUM('Biodiversity Assessment'!$AH$102:$AN$105)=SUM('Biodiversity Assessment'!$Z$102:$AF$105),IF('Biodiversity Assessment'!$AH$102&gt;0,'Biodiversity Assessment'!$AH$102*VLOOKUP(CONCATENATE($B29,$C29,'ESVD - Land Use &amp; Climate Match'!$A$11)&amp;"1",'ESVD - SUMMARY TABLE'!$E$2:$G$294,3,FALSE),0)+IF('Biodiversity Assessment'!$AH$103&gt;0,'Biodiversity Assessment'!$AH$103*VLOOKUP(CONCATENATE($B29,$C29,'ESVD - Land Use &amp; Climate Match'!$A$11)&amp;"2",'ESVD - SUMMARY TABLE'!$E$2:$G$294,3,FALSE),0)+IF('Biodiversity Assessment'!$AH$104&gt;0,'Biodiversity Assessment'!$AH$104*VLOOKUP(CONCATENATE($B29,$C29,'ESVD - Land Use &amp; Climate Match'!$A$11)&amp;"3",'ESVD - SUMMARY TABLE'!$E$2:$G$294,3,FALSE),0)+IF('Biodiversity Assessment'!$AH$105&gt;0,'Biodiversity Assessment'!$AH$105*VLOOKUP(CONCATENATE($B29,$C29,'ESVD - Land Use &amp; Climate Match'!$A$11)&amp;"4",'ESVD - SUMMARY TABLE'!$E$2:$G$294,3,FALSE),0),0),IF(SUM('Biodiversity Assessment'!$BF$102:$BF$106)=SUM('Biodiversity Assessment'!$BD$102:$BD$106),IF('Biodiversity Assessment'!$BF$102&gt;0,'Biodiversity Assessment'!$BF$102*VLOOKUP(CONCATENATE($B29,$C29,'ESVD - Land Use &amp; Climate Match'!$A$32)&amp;"1",'ESVD - SUMMARY TABLE'!$E$2:$G$294,3,FALSE),0)+IF('Biodiversity Assessment'!$BF$103&gt;0,'Biodiversity Assessment'!$BF$103*VLOOKUP(CONCATENATE($B29,$C29,'ESVD - Land Use &amp; Climate Match'!$A$32)&amp;"2",'ESVD - SUMMARY TABLE'!$E$2:$G$294,3,FALSE),0)+IF('Biodiversity Assessment'!$BF$104&gt;0,'Biodiversity Assessment'!$BF$104*VLOOKUP(CONCATENATE($B29,$C29,'ESVD - Land Use &amp; Climate Match'!$A$32)&amp;"3",'ESVD - SUMMARY TABLE'!$E$2:$G$294,3,FALSE),0)+IF('Biodiversity Assessment'!$BF$105&gt;0,'Biodiversity Assessment'!$BF$105*VLOOKUP(CONCATENATE($B29,$C29,'ESVD - Land Use &amp; Climate Match'!$A$32)&amp;"4",'ESVD - SUMMARY TABLE'!$E$2:$G$294,3,FALSE),0)+IF('Biodiversity Assessment'!$BF$106&gt;0,'Biodiversity Assessment'!$BF$106*VLOOKUP(CONCATENATE($B29,$C29,'ESVD - Land Use &amp; Climate Match'!$A$32)&amp;"5",'ESVD - SUMMARY TABLE'!$E$2:$G$294,3,FALSE),0),0))))),0)</f>
        <v>0</v>
      </c>
      <c r="I29" s="122">
        <f>'Biodiversity Assessment'!CR44</f>
        <v>0</v>
      </c>
      <c r="J29" s="122">
        <f>IFERROR(IF(I29&gt;0,I29*'Biodiversity Assessment'!$M44,IF(H29&gt;0,H29*'Biodiversity Assessment'!$M44,G29*'Biodiversity Assessment'!$M44)),0)</f>
        <v>0</v>
      </c>
      <c r="K29" s="454"/>
      <c r="L29" s="123">
        <f>IFERROR(IF(E29='ESVD - Land Use &amp; Climate Match'!$A$1,IF('Biodiversity Assessment'!$J$102&gt;0,'Biodiversity Assessment'!$J$102*VLOOKUP('ESVD - Social Value of Bio'!F29&amp;"1",'ESVD - SUMMARY TABLE'!$E$2:$G$294,3,),0)+IF('Biodiversity Assessment'!$J$103&gt;0,'Biodiversity Assessment'!$J$103*VLOOKUP('ESVD - Social Value of Bio'!F29&amp;"2",'ESVD - SUMMARY TABLE'!$E$2:$G$294,3,),0)+IF('Biodiversity Assessment'!$J$104&gt;0,'Biodiversity Assessment'!$J$104*VLOOKUP('ESVD - Social Value of Bio'!F29&amp;"3",'ESVD - SUMMARY TABLE'!$E$2:$G$294,3,),0)+IF('Biodiversity Assessment'!$J$105&gt;0,'Biodiversity Assessment'!$J$105*VLOOKUP('ESVD - Social Value of Bio'!F29&amp;"4",'ESVD - SUMMARY TABLE'!$E$2:$G$294,3,),0),IF(E29='ESVD - Land Use &amp; Climate Match'!$A$11,IF('Biodiversity Assessment'!$Z$102&gt;0,'Biodiversity Assessment'!$Z$102*VLOOKUP('ESVD - Social Value of Bio'!F29&amp;"1",'ESVD - SUMMARY TABLE'!$E$2:$G$294,3,FALSE),0)+IF('Biodiversity Assessment'!$Z$103&gt;0,'Biodiversity Assessment'!$Z$103*VLOOKUP('ESVD - Social Value of Bio'!F29&amp;"2",'ESVD - SUMMARY TABLE'!$E$2:$G$294,3,FALSE),0)+IF('Biodiversity Assessment'!$Z$104&gt;0,'Biodiversity Assessment'!$Z$104*VLOOKUP('ESVD - Social Value of Bio'!F29&amp;"3",'ESVD - SUMMARY TABLE'!$E$2:$G$294,3,FALSE),0)+IF('Biodiversity Assessment'!$Z$105&gt;0,'Biodiversity Assessment'!$Z$105*VLOOKUP('ESVD - Social Value of Bio'!F29&amp;"4",'ESVD - SUMMARY TABLE'!$E$2:$G$294,3,FALSE),0),IF(E29='ESVD - Land Use &amp; Climate Match'!$A$32,IF('Biodiversity Assessment'!$BD$102&gt;0,'Biodiversity Assessment'!$BD$102*VLOOKUP('ESVD - Social Value of Bio'!F29&amp;"1",'ESVD - SUMMARY TABLE'!$E$2:$G$294,3,FALSE),0)+IF('Biodiversity Assessment'!$BD$103&gt;0,'Biodiversity Assessment'!$BD$103*VLOOKUP('ESVD - Social Value of Bio'!F29&amp;"2",'ESVD - SUMMARY TABLE'!$E$2:$G$294,3,FALSE),0)+IF('Biodiversity Assessment'!$BD$104&gt;0,'Biodiversity Assessment'!$BD$104*VLOOKUP('ESVD - Social Value of Bio'!F29&amp;"3",'ESVD - SUMMARY TABLE'!$E$2:$G$294,3,FALSE),0)+IF('Biodiversity Assessment'!$BD$105&gt;0,'Biodiversity Assessment'!$BD$105*VLOOKUP('ESVD - Social Value of Bio'!F29&amp;"4",'ESVD - SUMMARY TABLE'!$E$2:$G$294,3,FALSE),0)+IF('Biodiversity Assessment'!$BD$106&gt;0,'Biodiversity Assessment'!$BD$106*VLOOKUP('ESVD - Social Value of Bio'!F29&amp;"5",'ESVD - SUMMARY TABLE'!$E$2:$G$294,3,FALSE),0),VLOOKUP('ESVD - Social Value of Bio'!F29&amp;"1",'ESVD - SUMMARY TABLE'!$E$2:$G$294,3,FALSE)))),0)</f>
        <v>0</v>
      </c>
      <c r="M29" s="123">
        <f>IFERROR(IF(E29='ESVD - Land Use &amp; Climate Match'!$A$1,IF(SUM('Biodiversity Assessment'!$O$102:$P$105)=SUM('Biodiversity Assessment'!$J$102:$M$105),IF('Biodiversity Assessment'!$O$102&gt;0,'Biodiversity Assessment'!$O$102*VLOOKUP('ESVD - Social Value of Bio'!F29&amp;"1",'ESVD - SUMMARY TABLE'!$E$2:$G$294,3,),0)+IF('Biodiversity Assessment'!$O$103&gt;0,'Biodiversity Assessment'!$O$103*VLOOKUP('ESVD - Social Value of Bio'!F29&amp;"2",'ESVD - SUMMARY TABLE'!$E$2:$G$294,3,),0)+IF('Biodiversity Assessment'!$O$104&gt;0,'Biodiversity Assessment'!$O$104*VLOOKUP('ESVD - Social Value of Bio'!F29&amp;"3",'ESVD - SUMMARY TABLE'!$E$2:$G$294,3,),0)+IF('Biodiversity Assessment'!$O$105&gt;0,'Biodiversity Assessment'!$O$105*VLOOKUP('ESVD - Social Value of Bio'!F29&amp;"4",'ESVD - SUMMARY TABLE'!$E$2:$G$294,3,),0),0),IF(E29='ESVD - Land Use &amp; Climate Match'!$A$11,IF(SUM('Biodiversity Assessment'!$AH$102:$AN$105)=SUM('Biodiversity Assessment'!$Z$102:$AF$105),IF('Biodiversity Assessment'!$AH$102&gt;0,'Biodiversity Assessment'!$AH$102*VLOOKUP('ESVD - Social Value of Bio'!F29&amp;"1",'ESVD - SUMMARY TABLE'!$E$2:$G$294,3,FALSE),0)+IF('Biodiversity Assessment'!$AH$103&gt;0,'Biodiversity Assessment'!$AH$103*VLOOKUP('ESVD - Social Value of Bio'!F29&amp;"2",'ESVD - SUMMARY TABLE'!$E$2:$G$294,3,FALSE),0)+IF('Biodiversity Assessment'!$AH$104&gt;0,'Biodiversity Assessment'!$AH$104*VLOOKUP('ESVD - Social Value of Bio'!F29&amp;"3",'ESVD - SUMMARY TABLE'!$E$2:$G$294,3,FALSE),0)+IF('Biodiversity Assessment'!$AH$105&gt;0,'Biodiversity Assessment'!$AH$105*VLOOKUP('ESVD - Social Value of Bio'!F29&amp;"4",'ESVD - SUMMARY TABLE'!$E$2:$G$294,3,FALSE),0),0),IF(E29='ESVD - Land Use &amp; Climate Match'!$A$32,IF(SUM('Biodiversity Assessment'!$BF$102:$BF$106)=SUM('Biodiversity Assessment'!$BD$102:$BD$106),IF('Biodiversity Assessment'!$BF$102&gt;0,'Biodiversity Assessment'!$BF$102*VLOOKUP('ESVD - Social Value of Bio'!F29&amp;"1",'ESVD - SUMMARY TABLE'!$E$2:$G$294,3,FALSE),0)+IF('Biodiversity Assessment'!$BF$103&gt;0,'Biodiversity Assessment'!$BF$103*VLOOKUP('ESVD - Social Value of Bio'!F29&amp;"2",'ESVD - SUMMARY TABLE'!$E$2:$G$294,3,FALSE),0)+IF('Biodiversity Assessment'!$BF$104&gt;0,'Biodiversity Assessment'!$BF$104*VLOOKUP('ESVD - Social Value of Bio'!F29&amp;"3",'ESVD - SUMMARY TABLE'!$E$2:$G$294,3,FALSE),0)+IF('Biodiversity Assessment'!$BF$105&gt;0,'Biodiversity Assessment'!$BF$105*VLOOKUP('ESVD - Social Value of Bio'!F29&amp;"4",'ESVD - SUMMARY TABLE'!$E$2:$G$294,3,FALSE),0)+IF('Biodiversity Assessment'!$BF$106&gt;0,'Biodiversity Assessment'!$BF$106*VLOOKUP('ESVD - Social Value of Bio'!F29&amp;"5",'ESVD - SUMMARY TABLE'!$E$2:$G$294,3,FALSE),0),0),VLOOKUP('ESVD - Social Value of Bio'!F29&amp;"1",'ESVD - SUMMARY TABLE'!$E$2:$G$294,3,FALSE)))),0)</f>
        <v>0</v>
      </c>
      <c r="N29" s="123">
        <f>'Biodiversity Assessment'!CR44</f>
        <v>0</v>
      </c>
      <c r="O29" s="124">
        <f>IFERROR(IF(N29&gt;0,N29*'Biodiversity Assessment'!M44,IF(M29&gt;0,M29*'Biodiversity Assessment'!M44,L29*'Biodiversity Assessment'!M44)),0)</f>
        <v>0</v>
      </c>
      <c r="P29" s="456"/>
      <c r="R29" s="108" t="str">
        <f>'Biodiversity Assessment'!O44</f>
        <v>Select land use</v>
      </c>
      <c r="S29" s="109" t="str">
        <f>IF(OR(R29=Data!$E$4,R29=Data!$E$5,R29=Data!$E$6,R29=Data!$E$7),Data!$E$4,IF(OR(R29=Data!$E$9,R29=Data!$E$10,R29=Data!$E$11),Data!$E$9,IF(OR(R29=Data!$E$12,R29=Data!$E$13,R29=Data!$E$14),"Cropland",IF(OR(R29=Data!$E$16,R29=Data!$E$17),"Agroforestry",R29))))</f>
        <v>Select land use</v>
      </c>
      <c r="T29" s="109" t="str">
        <f t="shared" si="1"/>
        <v>Please selectPlease selectSelect land use</v>
      </c>
      <c r="U29" s="122">
        <f>IFERROR(IF(S29='ESVD - Land Use &amp; Climate Match'!$A$1,IF('Biodiversity Assessment'!$J$102&gt;0,'Biodiversity Assessment'!$J$102*VLOOKUP('ESVD - Social Value of Bio'!T29&amp;"1",'ESVD - SUMMARY TABLE'!$E$2:$G$294,3,),0)+IF('Biodiversity Assessment'!$J$103&gt;0,'Biodiversity Assessment'!$J$103*VLOOKUP('ESVD - Social Value of Bio'!T29&amp;"2",'ESVD - SUMMARY TABLE'!$E$2:$G$294,3,),0)+IF('Biodiversity Assessment'!$J$104&gt;0,'Biodiversity Assessment'!$J$104*VLOOKUP('ESVD - Social Value of Bio'!T29&amp;"3",'ESVD - SUMMARY TABLE'!$E$2:$G$294,3,),0)+IF('Biodiversity Assessment'!$J$105&gt;0,'Biodiversity Assessment'!$J$105*VLOOKUP('ESVD - Social Value of Bio'!T29&amp;"4",'ESVD - SUMMARY TABLE'!$E$2:$G$294,3,),0),IF(S29='ESVD - Land Use &amp; Climate Match'!$A$11,IF('Biodiversity Assessment'!$Z$102&gt;0,'Biodiversity Assessment'!$Z$102*VLOOKUP('ESVD - Social Value of Bio'!T29&amp;"1",'ESVD - SUMMARY TABLE'!$E$2:$G$294,3,FALSE),0)+IF('Biodiversity Assessment'!$Z$103&gt;0,'Biodiversity Assessment'!$Z$103*VLOOKUP('ESVD - Social Value of Bio'!T29&amp;"2",'ESVD - SUMMARY TABLE'!$E$2:$G$294,3,FALSE),0)+IF('Biodiversity Assessment'!$Z$104&gt;0,'Biodiversity Assessment'!$Z$104*VLOOKUP('ESVD - Social Value of Bio'!T29&amp;"3",'ESVD - SUMMARY TABLE'!$E$2:$G$294,3,FALSE),0)+IF('Biodiversity Assessment'!$Z$105&gt;0,'Biodiversity Assessment'!$Z$105*VLOOKUP('ESVD - Social Value of Bio'!T29&amp;"4",'ESVD - SUMMARY TABLE'!$E$2:$G$294,3,FALSE),0),IF(S29='ESVD - Land Use &amp; Climate Match'!$A$32,IF('Biodiversity Assessment'!$BD$102&gt;0,'Biodiversity Assessment'!$BD$102*VLOOKUP('ESVD - Social Value of Bio'!T29&amp;"1",'ESVD - SUMMARY TABLE'!$E$2:$G$294,3,FALSE),0)+IF('Biodiversity Assessment'!$BD$103&gt;0,'Biodiversity Assessment'!$BD$103*VLOOKUP('ESVD - Social Value of Bio'!T29&amp;"2",'ESVD - SUMMARY TABLE'!$E$2:$G$294,3,FALSE),0)+IF('Biodiversity Assessment'!$BD$104&gt;0,'Biodiversity Assessment'!$BD$104*VLOOKUP('ESVD - Social Value of Bio'!T29&amp;"3",'ESVD - SUMMARY TABLE'!$E$2:$G$294,3,FALSE),0)+IF('Biodiversity Assessment'!$BD$105&gt;0,'Biodiversity Assessment'!$BD$105*VLOOKUP('ESVD - Social Value of Bio'!T29&amp;"4",'ESVD - SUMMARY TABLE'!$E$2:$G$294,3,FALSE),0)+IF('Biodiversity Assessment'!$BD$106&gt;0,'Biodiversity Assessment'!$BD$106*VLOOKUP('ESVD - Social Value of Bio'!T29&amp;"5",'ESVD - SUMMARY TABLE'!$E$2:$G$294,3,FALSE),0),AVERAGE(IF('Biodiversity Assessment'!$J$102&gt;0,'Biodiversity Assessment'!$J$102*VLOOKUP(CONCATENATE(B29,C29,'ESVD - Land Use &amp; Climate Match'!$A$1)&amp;"1",'ESVD - SUMMARY TABLE'!$E$2:$G$294,3,),0)+IF('Biodiversity Assessment'!$J$103&gt;0,'Biodiversity Assessment'!$J$103*VLOOKUP(CONCATENATE(B29,C29,'ESVD - Land Use &amp; Climate Match'!$A$1)&amp;"2",'ESVD - SUMMARY TABLE'!$E$2:$G$294,3,),0)+IF('Biodiversity Assessment'!$J$104&gt;0,'Biodiversity Assessment'!$J$104*VLOOKUP(CONCATENATE(B29,C29,'ESVD - Land Use &amp; Climate Match'!$A$1)&amp;"3",'ESVD - SUMMARY TABLE'!$E$2:$G$294,3,),0)+IF('Biodiversity Assessment'!$J$105&gt;0,'Biodiversity Assessment'!$J$105*VLOOKUP(CONCATENATE(B29,C29,'ESVD - Land Use &amp; Climate Match'!$A$1)&amp;"4",'ESVD - SUMMARY TABLE'!$E$2:$G$294,3,),0),IF('Biodiversity Assessment'!$Z$102&gt;0,'Biodiversity Assessment'!$Z$102*VLOOKUP(CONCATENATE(B29,C29,'ESVD - Land Use &amp; Climate Match'!$A$11)&amp;"1",'ESVD - SUMMARY TABLE'!$E$2:$G$294,3,FALSE),0)+IF('Biodiversity Assessment'!$Z$103&gt;0,'Biodiversity Assessment'!$Z$103*VLOOKUP(CONCATENATE(B29,C29,'ESVD - Land Use &amp; Climate Match'!$A$11)&amp;"2",'ESVD - SUMMARY TABLE'!$E$2:$G$294,3,FALSE),0)+IF('Biodiversity Assessment'!$Z$104&gt;0,'Biodiversity Assessment'!$Z$104*VLOOKUP(CONCATENATE(B29,C29,'ESVD - Land Use &amp; Climate Match'!$A$11)&amp;"3",'ESVD - SUMMARY TABLE'!$E$2:$G$294,3,FALSE),0)+IF('Biodiversity Assessment'!$Z$105&gt;0,'Biodiversity Assessment'!$Z$105*VLOOKUP(CONCATENATE(B29,C29,'ESVD - Land Use &amp; Climate Match'!$A$11)&amp;"4",'ESVD - SUMMARY TABLE'!$E$2:$G$294,3,FALSE),0),IF('Biodiversity Assessment'!$BD$102&gt;0,'Biodiversity Assessment'!$BD$102*VLOOKUP(CONCATENATE(B29,C29,'ESVD - Land Use &amp; Climate Match'!$A$32)&amp;"1",'ESVD - SUMMARY TABLE'!$E$2:$G$294,3,FALSE),0)+IF('Biodiversity Assessment'!$BD$103&gt;0,'Biodiversity Assessment'!$BD$103*VLOOKUP(CONCATENATE(B29,C29,'ESVD - Land Use &amp; Climate Match'!$A$32)&amp;"2",'ESVD - SUMMARY TABLE'!$E$2:$G$294,3,FALSE),0)+IF('Biodiversity Assessment'!$BD$104&gt;0,'Biodiversity Assessment'!$BD$104*VLOOKUP(CONCATENATE(B29,C29,'ESVD - Land Use &amp; Climate Match'!$A$32)&amp;"3",'ESVD - SUMMARY TABLE'!$E$2:$G$294,3,FALSE),0)+IF('Biodiversity Assessment'!$BD$105&gt;0,'Biodiversity Assessment'!$BD$105*VLOOKUP(CONCATENATE(B29,C29,'ESVD - Land Use &amp; Climate Match'!$A$32)&amp;"4",'ESVD - SUMMARY TABLE'!$E$2:$G$294,3,FALSE),0)+IF('Biodiversity Assessment'!$BD$106&gt;0,'Biodiversity Assessment'!$BD$106*VLOOKUP(CONCATENATE(B29,C29,'ESVD - Land Use &amp; Climate Match'!$A$32)&amp;"5",'ESVD - SUMMARY TABLE'!$E$2:$G$294,3,FALSE)))))),0)</f>
        <v>0</v>
      </c>
      <c r="V29" s="122">
        <f>IFERROR(IF(S29='ESVD - Land Use &amp; Climate Match'!$A$1,IF(SUM('Biodiversity Assessment'!$O$102:$P$105)=SUM('Biodiversity Assessment'!$J$102:$M$105),IF('Biodiversity Assessment'!$O$102&gt;0,'Biodiversity Assessment'!$O$102*VLOOKUP('ESVD - Social Value of Bio'!T29&amp;"1",'ESVD - SUMMARY TABLE'!$E$2:$G$294,3,),0)+IF('Biodiversity Assessment'!$O$103&gt;0,'Biodiversity Assessment'!$O$103*VLOOKUP('ESVD - Social Value of Bio'!T29&amp;"2",'ESVD - SUMMARY TABLE'!$E$2:$G$294,3,),0)+IF('Biodiversity Assessment'!$O$104&gt;0,'Biodiversity Assessment'!$O$104*VLOOKUP('ESVD - Social Value of Bio'!T29&amp;"3",'ESVD - SUMMARY TABLE'!$E$2:$G$294,3,),0)+IF('Biodiversity Assessment'!$O$105&gt;0,'Biodiversity Assessment'!$O$105*VLOOKUP('ESVD - Social Value of Bio'!T29&amp;"4",'ESVD - SUMMARY TABLE'!$E$2:$G$294,3,),0),0),IF(S29='ESVD - Land Use &amp; Climate Match'!$A$11,IF(SUM('Biodiversity Assessment'!$AH$102:$AN$105)=SUM('Biodiversity Assessment'!$Z$102:$AF$105),IF('Biodiversity Assessment'!$AH$102&gt;0,'Biodiversity Assessment'!$AH$102*VLOOKUP('ESVD - Social Value of Bio'!T29&amp;"1",'ESVD - SUMMARY TABLE'!$E$2:$G$294,3,FALSE),0)+IF('Biodiversity Assessment'!$AH$103&gt;0,'Biodiversity Assessment'!$AH$103*VLOOKUP('ESVD - Social Value of Bio'!T29&amp;"2",'ESVD - SUMMARY TABLE'!$E$2:$G$294,3,FALSE),0)+IF('Biodiversity Assessment'!$AH$104&gt;0,'Biodiversity Assessment'!$AH$104*VLOOKUP('ESVD - Social Value of Bio'!T29&amp;"3",'ESVD - SUMMARY TABLE'!$E$2:$G$294,3,FALSE),0)+IF('Biodiversity Assessment'!$AH$105&gt;0,'Biodiversity Assessment'!$AH$105*VLOOKUP('ESVD - Social Value of Bio'!T29&amp;"4",'ESVD - SUMMARY TABLE'!$E$2:$G$294,3,FALSE),0),0),IF(S29='ESVD - Land Use &amp; Climate Match'!$A$32,IF(SUM('Biodiversity Assessment'!$BF$102:$BF$106)=SUM('Biodiversity Assessment'!$BD$102:$BD$106),IF('Biodiversity Assessment'!$BF$102&gt;0,'Biodiversity Assessment'!$BF$102*VLOOKUP('ESVD - Social Value of Bio'!T29&amp;"1",'ESVD - SUMMARY TABLE'!$E$2:$G$294,3,FALSE),0)+IF('Biodiversity Assessment'!$BF$103&gt;0,'Biodiversity Assessment'!$BF$103*VLOOKUP('ESVD - Social Value of Bio'!T29&amp;"2",'ESVD - SUMMARY TABLE'!$E$2:$G$294,3,FALSE),0)+IF('Biodiversity Assessment'!$BF$104&gt;0,'Biodiversity Assessment'!$BF$104*VLOOKUP('ESVD - Social Value of Bio'!T29&amp;"3",'ESVD - SUMMARY TABLE'!$E$2:$G$294,3,FALSE),0)+IF('Biodiversity Assessment'!$BF$105&gt;0,'Biodiversity Assessment'!$BF$105*VLOOKUP('ESVD - Social Value of Bio'!T29&amp;"4",'ESVD - SUMMARY TABLE'!$E$2:$G$294,3,FALSE),0)+IF('Biodiversity Assessment'!$BF$106&gt;0,'Biodiversity Assessment'!$BF$106*VLOOKUP('ESVD - Social Value of Bio'!T29&amp;"5",'ESVD - SUMMARY TABLE'!$E$2:$G$294,3,FALSE),0),0),AVERAGE(IF(SUM('Biodiversity Assessment'!$O$102:$P$105)=SUM('Biodiversity Assessment'!$J$102:$M$105),IF('Biodiversity Assessment'!$O$102&gt;0,'Biodiversity Assessment'!$O$102*VLOOKUP(CONCATENATE($B29,$C29,'ESVD - Land Use &amp; Climate Match'!$A$1)&amp;"1",'ESVD - SUMMARY TABLE'!$E$2:$G$294,3,),0)+IF('Biodiversity Assessment'!$O$103&gt;0,'Biodiversity Assessment'!$O$103*VLOOKUP(CONCATENATE($B29,$C29,'ESVD - Land Use &amp; Climate Match'!$A$1)&amp;"2",'ESVD - SUMMARY TABLE'!$E$2:$G$294,3,),0)+IF('Biodiversity Assessment'!$O$104&gt;0,'Biodiversity Assessment'!$O$104*VLOOKUP(CONCATENATE($B29,$C29,'ESVD - Land Use &amp; Climate Match'!$A$1)&amp;"3",'ESVD - SUMMARY TABLE'!$E$2:$G$294,3,),0)+IF('Biodiversity Assessment'!$O$105&gt;0,'Biodiversity Assessment'!$O$105*VLOOKUP(CONCATENATE($B29,$C29,'ESVD - Land Use &amp; Climate Match'!$A$1)&amp;"4",'ESVD - SUMMARY TABLE'!$E$2:$G$294,3,),0),0),IF(SUM('Biodiversity Assessment'!$AH$102:$AN$105)=SUM('Biodiversity Assessment'!$Z$102:$AF$105),IF('Biodiversity Assessment'!$AH$102&gt;0,'Biodiversity Assessment'!$AH$102*VLOOKUP(CONCATENATE($B29,$C29,'ESVD - Land Use &amp; Climate Match'!$A$11)&amp;"1",'ESVD - SUMMARY TABLE'!$E$2:$G$294,3,FALSE),0)+IF('Biodiversity Assessment'!$AH$103&gt;0,'Biodiversity Assessment'!$AH$103*VLOOKUP(CONCATENATE($B29,$C29,'ESVD - Land Use &amp; Climate Match'!$A$11)&amp;"2",'ESVD - SUMMARY TABLE'!$E$2:$G$294,3,FALSE),0)+IF('Biodiversity Assessment'!$AH$104&gt;0,'Biodiversity Assessment'!$AH$104*VLOOKUP(CONCATENATE($B29,$C29,'ESVD - Land Use &amp; Climate Match'!$A$11)&amp;"3",'ESVD - SUMMARY TABLE'!$E$2:$G$294,3,FALSE),0)+IF('Biodiversity Assessment'!$AH$105&gt;0,'Biodiversity Assessment'!$AH$105*VLOOKUP(CONCATENATE($B29,$C29,'ESVD - Land Use &amp; Climate Match'!$A$11)&amp;"4",'ESVD - SUMMARY TABLE'!$E$2:$G$294,3,FALSE),0),0),IF(SUM('Biodiversity Assessment'!$BF$102:$BF$106)=SUM('Biodiversity Assessment'!$BD$102:$BD$106),IF('Biodiversity Assessment'!$BF$102&gt;0,'Biodiversity Assessment'!$BF$102*VLOOKUP(CONCATENATE($B29,$C29,'ESVD - Land Use &amp; Climate Match'!$A$32)&amp;"1",'ESVD - SUMMARY TABLE'!$E$2:$G$294,3,FALSE),0)+IF('Biodiversity Assessment'!$BF$103&gt;0,'Biodiversity Assessment'!$BF$103*VLOOKUP(CONCATENATE($B29,$C29,'ESVD - Land Use &amp; Climate Match'!$A$32)&amp;"2",'ESVD - SUMMARY TABLE'!$E$2:$G$294,3,FALSE),0)+IF('Biodiversity Assessment'!$BF$104&gt;0,'Biodiversity Assessment'!$BF$104*VLOOKUP(CONCATENATE($B29,$C29,'ESVD - Land Use &amp; Climate Match'!$A$32)&amp;"3",'ESVD - SUMMARY TABLE'!$E$2:$G$294,3,FALSE),0)+IF('Biodiversity Assessment'!$BF$105&gt;0,'Biodiversity Assessment'!$BF$105*VLOOKUP(CONCATENATE($B29,$C29,'ESVD - Land Use &amp; Climate Match'!$A$32)&amp;"4",'ESVD - SUMMARY TABLE'!$E$2:$G$294,3,FALSE),0)+IF('Biodiversity Assessment'!$BF$106&gt;0,'Biodiversity Assessment'!$BF$106*VLOOKUP(CONCATENATE($B29,$C29,'ESVD - Land Use &amp; Climate Match'!$A$32)&amp;"5",'ESVD - SUMMARY TABLE'!$E$2:$G$294,3,FALSE),0),0))))),0)</f>
        <v>0</v>
      </c>
      <c r="W29" s="122">
        <f>'Biodiversity Assessment'!CX44</f>
        <v>0</v>
      </c>
      <c r="X29" s="122">
        <f>IFERROR(IF(W29&gt;0,W29*'Biodiversity Assessment'!$U44,IF(V29&gt;0,V29*'Biodiversity Assessment'!$U44,U29*'Biodiversity Assessment'!$U44)),0)</f>
        <v>0</v>
      </c>
      <c r="Y29" s="454"/>
      <c r="Z29" s="123">
        <f>IFERROR(IF(S29='ESVD - Land Use &amp; Climate Match'!$A$1,IF('Biodiversity Assessment'!$J$102&gt;0,'Biodiversity Assessment'!$J$102*VLOOKUP('ESVD - Social Value of Bio'!T29&amp;"1",'ESVD - SUMMARY TABLE'!$E$2:$G$294,3,),0)+IF('Biodiversity Assessment'!$J$103&gt;0,'Biodiversity Assessment'!$J$103*VLOOKUP('ESVD - Social Value of Bio'!T29&amp;"2",'ESVD - SUMMARY TABLE'!$E$2:$G$294,3,),0)+IF('Biodiversity Assessment'!$J$104&gt;0,'Biodiversity Assessment'!$J$104*VLOOKUP('ESVD - Social Value of Bio'!T29&amp;"3",'ESVD - SUMMARY TABLE'!$E$2:$G$294,3,),0)+IF('Biodiversity Assessment'!$J$105&gt;0,'Biodiversity Assessment'!$J$105*VLOOKUP('ESVD - Social Value of Bio'!T29&amp;"4",'ESVD - SUMMARY TABLE'!$E$2:$G$294,3,),0),IF(S29='ESVD - Land Use &amp; Climate Match'!$A$11,IF('Biodiversity Assessment'!$Z$102&gt;0,'Biodiversity Assessment'!$Z$102*VLOOKUP('ESVD - Social Value of Bio'!T29&amp;"1",'ESVD - SUMMARY TABLE'!$E$2:$G$294,3,FALSE),0)+IF('Biodiversity Assessment'!$Z$103&gt;0,'Biodiversity Assessment'!$Z$103*VLOOKUP('ESVD - Social Value of Bio'!T29&amp;"2",'ESVD - SUMMARY TABLE'!$E$2:$G$294,3,FALSE),0)+IF('Biodiversity Assessment'!$Z$104&gt;0,'Biodiversity Assessment'!$Z$104*VLOOKUP('ESVD - Social Value of Bio'!T29&amp;"3",'ESVD - SUMMARY TABLE'!$E$2:$G$294,3,FALSE),0)+IF('Biodiversity Assessment'!$Z$105&gt;0,'Biodiversity Assessment'!$Z$105*VLOOKUP('ESVD - Social Value of Bio'!T29&amp;"4",'ESVD - SUMMARY TABLE'!$E$2:$G$294,3,FALSE),0),IF(S29='ESVD - Land Use &amp; Climate Match'!$A$32,IF('Biodiversity Assessment'!$BD$102&gt;0,'Biodiversity Assessment'!$BD$102*VLOOKUP('ESVD - Social Value of Bio'!T29&amp;"1",'ESVD - SUMMARY TABLE'!$E$2:$G$294,3,FALSE),0)+IF('Biodiversity Assessment'!$BD$103&gt;0,'Biodiversity Assessment'!$BD$103*VLOOKUP('ESVD - Social Value of Bio'!T29&amp;"2",'ESVD - SUMMARY TABLE'!$E$2:$G$294,3,FALSE),0)+IF('Biodiversity Assessment'!$BD$104&gt;0,'Biodiversity Assessment'!$BD$104*VLOOKUP('ESVD - Social Value of Bio'!T29&amp;"3",'ESVD - SUMMARY TABLE'!$E$2:$G$294,3,FALSE),0)+IF('Biodiversity Assessment'!$BD$105&gt;0,'Biodiversity Assessment'!$BD$105*VLOOKUP('ESVD - Social Value of Bio'!T29&amp;"4",'ESVD - SUMMARY TABLE'!$E$2:$G$294,3,FALSE),0)+IF('Biodiversity Assessment'!$BD$106&gt;0,'Biodiversity Assessment'!$BD$106*VLOOKUP('ESVD - Social Value of Bio'!T29&amp;"5",'ESVD - SUMMARY TABLE'!$E$2:$G$294,3,FALSE),0),VLOOKUP('ESVD - Social Value of Bio'!T29&amp;"1",'ESVD - SUMMARY TABLE'!$E$2:$G$294,3,FALSE)))),0)</f>
        <v>0</v>
      </c>
      <c r="AA29" s="123">
        <f>IFERROR(IF(S29='ESVD - Land Use &amp; Climate Match'!$A$1,IF(SUM('Biodiversity Assessment'!$O$102:$P$105)=SUM('Biodiversity Assessment'!$J$102:$M$105),IF('Biodiversity Assessment'!$O$102&gt;0,'Biodiversity Assessment'!$O$102*VLOOKUP('ESVD - Social Value of Bio'!T29&amp;"1",'ESVD - SUMMARY TABLE'!$E$2:$G$294,3,),0)+IF('Biodiversity Assessment'!$O$103&gt;0,'Biodiversity Assessment'!$O$103*VLOOKUP('ESVD - Social Value of Bio'!T29&amp;"2",'ESVD - SUMMARY TABLE'!$E$2:$G$294,3,),0)+IF('Biodiversity Assessment'!$O$104&gt;0,'Biodiversity Assessment'!$O$104*VLOOKUP('ESVD - Social Value of Bio'!T29&amp;"3",'ESVD - SUMMARY TABLE'!$E$2:$G$294,3,),0)+IF('Biodiversity Assessment'!$O$105&gt;0,'Biodiversity Assessment'!$O$105*VLOOKUP('ESVD - Social Value of Bio'!T29&amp;"4",'ESVD - SUMMARY TABLE'!$E$2:$G$294,3,),0),0),IF(S29='ESVD - Land Use &amp; Climate Match'!$A$11,IF(SUM('Biodiversity Assessment'!$AH$102:$AN$105)=SUM('Biodiversity Assessment'!$Z$102:$AF$105),IF('Biodiversity Assessment'!$AH$102&gt;0,'Biodiversity Assessment'!$AH$102*VLOOKUP('ESVD - Social Value of Bio'!T29&amp;"1",'ESVD - SUMMARY TABLE'!$E$2:$G$294,3,FALSE),0)+IF('Biodiversity Assessment'!$AH$103&gt;0,'Biodiversity Assessment'!$AH$103*VLOOKUP('ESVD - Social Value of Bio'!T29&amp;"2",'ESVD - SUMMARY TABLE'!$E$2:$G$294,3,FALSE),0)+IF('Biodiversity Assessment'!$AH$104&gt;0,'Biodiversity Assessment'!$AH$104*VLOOKUP('ESVD - Social Value of Bio'!T29&amp;"3",'ESVD - SUMMARY TABLE'!$E$2:$G$294,3,FALSE),0)+IF('Biodiversity Assessment'!$AH$105&gt;0,'Biodiversity Assessment'!$AH$105*VLOOKUP('ESVD - Social Value of Bio'!T29&amp;"4",'ESVD - SUMMARY TABLE'!$E$2:$G$294,3,FALSE),0),0),IF(S29='ESVD - Land Use &amp; Climate Match'!$A$32,IF(SUM('Biodiversity Assessment'!$BF$102:$BF$106)=SUM('Biodiversity Assessment'!$BD$102:$BD$106),IF('Biodiversity Assessment'!$BF$102&gt;0,'Biodiversity Assessment'!$BF$102*VLOOKUP('ESVD - Social Value of Bio'!T29&amp;"1",'ESVD - SUMMARY TABLE'!$E$2:$G$294,3,FALSE),0)+IF('Biodiversity Assessment'!$BF$103&gt;0,'Biodiversity Assessment'!$BF$103*VLOOKUP('ESVD - Social Value of Bio'!T29&amp;"2",'ESVD - SUMMARY TABLE'!$E$2:$G$294,3,FALSE),0)+IF('Biodiversity Assessment'!$BF$104&gt;0,'Biodiversity Assessment'!$BF$104*VLOOKUP('ESVD - Social Value of Bio'!T29&amp;"3",'ESVD - SUMMARY TABLE'!$E$2:$G$294,3,FALSE),0)+IF('Biodiversity Assessment'!$BF$105&gt;0,'Biodiversity Assessment'!$BF$105*VLOOKUP('ESVD - Social Value of Bio'!T29&amp;"4",'ESVD - SUMMARY TABLE'!$E$2:$G$294,3,FALSE),0)+IF('Biodiversity Assessment'!$BF$106&gt;0,'Biodiversity Assessment'!$BF$106*VLOOKUP('ESVD - Social Value of Bio'!T29&amp;"5",'ESVD - SUMMARY TABLE'!$E$2:$G$294,3,FALSE),0),0),VLOOKUP('ESVD - Social Value of Bio'!T29&amp;"1",'ESVD - SUMMARY TABLE'!$E$2:$G$294,3,FALSE)))),0)</f>
        <v>0</v>
      </c>
      <c r="AB29" s="123">
        <f>'Biodiversity Assessment'!CX44</f>
        <v>0</v>
      </c>
      <c r="AC29" s="124">
        <f>IFERROR(IF(AB29&gt;0,AB29*'Biodiversity Assessment'!U44,IF(AA29&gt;0,AA29*'Biodiversity Assessment'!U44,Z29*'Biodiversity Assessment'!U44)),0)</f>
        <v>0</v>
      </c>
      <c r="AD29" s="456"/>
      <c r="AG29" s="453"/>
    </row>
    <row r="30" spans="1:33" s="110" customFormat="1" ht="10.5" x14ac:dyDescent="0.25">
      <c r="A30" s="107" t="s">
        <v>405</v>
      </c>
      <c r="B30" s="108" t="str">
        <f>IF(Start!$D$28&gt;1000,CONCATENATE(Start!$D$20," Mountain"),Start!$D$20)</f>
        <v>Please select</v>
      </c>
      <c r="C30" s="108" t="str">
        <f>Start!$D$24</f>
        <v>Please select</v>
      </c>
      <c r="D30" s="109" t="str">
        <f>'Biodiversity Assessment'!G45</f>
        <v>Select land use</v>
      </c>
      <c r="E30" s="109" t="str">
        <f>IF(OR(D30=Data!$E$4,D30=Data!$E$5,D30=Data!$E$6,D30=Data!$E$7),Data!$E$4,IF(OR(D30=Data!$E$9,D30=Data!$E$10,D30=Data!$E$11),Data!$E$9,IF(OR(D30=Data!$E$12,D30=Data!$E$13,D30=Data!$E$14),"Cropland",IF(OR(D30=Data!$E$16,D30=Data!$E$17),"Agroforestry",D30))))</f>
        <v>Select land use</v>
      </c>
      <c r="F30" s="109" t="str">
        <f t="shared" si="0"/>
        <v>Please selectPlease selectSelect land use</v>
      </c>
      <c r="G30" s="122">
        <f>IFERROR(IF(E30='ESVD - Land Use &amp; Climate Match'!$A$1,IF('Biodiversity Assessment'!$J$102&gt;0,'Biodiversity Assessment'!$J$102*VLOOKUP('ESVD - Social Value of Bio'!F30&amp;"1",'ESVD - SUMMARY TABLE'!$E$2:$G$294,3,),0)+IF('Biodiversity Assessment'!$J$103&gt;0,'Biodiversity Assessment'!$J$103*VLOOKUP('ESVD - Social Value of Bio'!F30&amp;"2",'ESVD - SUMMARY TABLE'!$E$2:$G$294,3,),0)+IF('Biodiversity Assessment'!$J$104&gt;0,'Biodiversity Assessment'!$J$104*VLOOKUP('ESVD - Social Value of Bio'!F30&amp;"3",'ESVD - SUMMARY TABLE'!$E$2:$G$294,3,),0)+IF('Biodiversity Assessment'!$J$105&gt;0,'Biodiversity Assessment'!$J$105*VLOOKUP('ESVD - Social Value of Bio'!F30&amp;"4",'ESVD - SUMMARY TABLE'!$E$2:$G$294,3,),0),IF(E30='ESVD - Land Use &amp; Climate Match'!$A$11,IF('Biodiversity Assessment'!$Z$102&gt;0,'Biodiversity Assessment'!$Z$102*VLOOKUP('ESVD - Social Value of Bio'!F30&amp;"1",'ESVD - SUMMARY TABLE'!$E$2:$G$294,3,FALSE),0)+IF('Biodiversity Assessment'!$Z$103&gt;0,'Biodiversity Assessment'!$Z$103*VLOOKUP('ESVD - Social Value of Bio'!F30&amp;"2",'ESVD - SUMMARY TABLE'!$E$2:$G$294,3,FALSE),0)+IF('Biodiversity Assessment'!$Z$104&gt;0,'Biodiversity Assessment'!$Z$104*VLOOKUP('ESVD - Social Value of Bio'!F30&amp;"3",'ESVD - SUMMARY TABLE'!$E$2:$G$294,3,FALSE),0)+IF('Biodiversity Assessment'!$Z$105&gt;0,'Biodiversity Assessment'!$Z$105*VLOOKUP('ESVD - Social Value of Bio'!F30&amp;"4",'ESVD - SUMMARY TABLE'!$E$2:$G$294,3,FALSE),0),IF(E30='ESVD - Land Use &amp; Climate Match'!$A$32,IF('Biodiversity Assessment'!$BD$102&gt;0,'Biodiversity Assessment'!$BD$102*VLOOKUP('ESVD - Social Value of Bio'!F30&amp;"1",'ESVD - SUMMARY TABLE'!$E$2:$G$294,3,FALSE),0)+IF('Biodiversity Assessment'!$BD$103&gt;0,'Biodiversity Assessment'!$BD$103*VLOOKUP('ESVD - Social Value of Bio'!F30&amp;"2",'ESVD - SUMMARY TABLE'!$E$2:$G$294,3,FALSE),0)+IF('Biodiversity Assessment'!$BD$104&gt;0,'Biodiversity Assessment'!$BD$104*VLOOKUP('ESVD - Social Value of Bio'!F30&amp;"3",'ESVD - SUMMARY TABLE'!$E$2:$G$294,3,FALSE),0)+IF('Biodiversity Assessment'!$BD$105&gt;0,'Biodiversity Assessment'!$BD$105*VLOOKUP('ESVD - Social Value of Bio'!F30&amp;"4",'ESVD - SUMMARY TABLE'!$E$2:$G$294,3,FALSE),0)+IF('Biodiversity Assessment'!$BD$106&gt;0,'Biodiversity Assessment'!$BD$106*VLOOKUP('ESVD - Social Value of Bio'!F30&amp;"5",'ESVD - SUMMARY TABLE'!$E$2:$G$294,3,FALSE),0),AVERAGE(IF('Biodiversity Assessment'!$J$102&gt;0,'Biodiversity Assessment'!$J$102*VLOOKUP(CONCATENATE($B30,$C30,'ESVD - Land Use &amp; Climate Match'!$A$1)&amp;"1",'ESVD - SUMMARY TABLE'!$E$2:$G$294,3,),0)+IF('Biodiversity Assessment'!$J$103&gt;0,'Biodiversity Assessment'!$J$103*VLOOKUP(CONCATENATE($B30,$C30,'ESVD - Land Use &amp; Climate Match'!$A$1)&amp;"2",'ESVD - SUMMARY TABLE'!$E$2:$G$294,3,),0)+IF('Biodiversity Assessment'!$J$104&gt;0,'Biodiversity Assessment'!$J$104*VLOOKUP(CONCATENATE($B30,$C30,'ESVD - Land Use &amp; Climate Match'!$A$1)&amp;"3",'ESVD - SUMMARY TABLE'!$E$2:$G$294,3,),0)+IF('Biodiversity Assessment'!$J$105&gt;0,'Biodiversity Assessment'!$J$105*VLOOKUP(CONCATENATE($B30,$C30,'ESVD - Land Use &amp; Climate Match'!$A$1)&amp;"4",'ESVD - SUMMARY TABLE'!$E$2:$G$294,3,),0),IF('Biodiversity Assessment'!$Z$102&gt;0,'Biodiversity Assessment'!$Z$102*VLOOKUP(CONCATENATE($B30,$C30,'ESVD - Land Use &amp; Climate Match'!$A$11)&amp;"1",'ESVD - SUMMARY TABLE'!$E$2:$G$294,3,FALSE),0)+IF('Biodiversity Assessment'!$Z$103&gt;0,'Biodiversity Assessment'!$Z$103*VLOOKUP(CONCATENATE($B30,$C30,'ESVD - Land Use &amp; Climate Match'!$A$11)&amp;"2",'ESVD - SUMMARY TABLE'!$E$2:$G$294,3,FALSE),0)+IF('Biodiversity Assessment'!$Z$104&gt;0,'Biodiversity Assessment'!$Z$104*VLOOKUP(CONCATENATE($B30,$C30,'ESVD - Land Use &amp; Climate Match'!$A$11)&amp;"3",'ESVD - SUMMARY TABLE'!$E$2:$G$294,3,FALSE),0)+IF('Biodiversity Assessment'!$Z$105&gt;0,'Biodiversity Assessment'!$Z$105*VLOOKUP(CONCATENATE($B30,$C30,'ESVD - Land Use &amp; Climate Match'!$A$11)&amp;"4",'ESVD - SUMMARY TABLE'!$E$2:$G$294,3,FALSE),0),IF('Biodiversity Assessment'!$BD$102&gt;0,'Biodiversity Assessment'!$BD$102*VLOOKUP(CONCATENATE($B30,$C30,'ESVD - Land Use &amp; Climate Match'!$A$32)&amp;"1",'ESVD - SUMMARY TABLE'!$E$2:$G$294,3,FALSE),0)+IF('Biodiversity Assessment'!$BD$103&gt;0,'Biodiversity Assessment'!$BD$103*VLOOKUP(CONCATENATE($B30,$C30,'ESVD - Land Use &amp; Climate Match'!$A$32)&amp;"2",'ESVD - SUMMARY TABLE'!$E$2:$G$294,3,FALSE),0)+IF('Biodiversity Assessment'!$BD$104&gt;0,'Biodiversity Assessment'!$BD$104*VLOOKUP(CONCATENATE($B30,$C30,'ESVD - Land Use &amp; Climate Match'!$A$32)&amp;"3",'ESVD - SUMMARY TABLE'!$E$2:$G$294,3,FALSE),0)+IF('Biodiversity Assessment'!$BD$105&gt;0,'Biodiversity Assessment'!$BD$105*VLOOKUP(CONCATENATE($B30,$C30,'ESVD - Land Use &amp; Climate Match'!$A$32)&amp;"4",'ESVD - SUMMARY TABLE'!$E$2:$G$294,3,FALSE),0)+IF('Biodiversity Assessment'!$BD$106&gt;0,'Biodiversity Assessment'!$BD$106*VLOOKUP(CONCATENATE($B30,$C30,'ESVD - Land Use &amp; Climate Match'!$A$32)&amp;"5",'ESVD - SUMMARY TABLE'!$E$2:$G$294,3,FALSE)))))),0)</f>
        <v>0</v>
      </c>
      <c r="H30" s="122">
        <f>IFERROR(IF(E30='ESVD - Land Use &amp; Climate Match'!$A$1,IF(SUM('Biodiversity Assessment'!$O$102:$P$105)=SUM('Biodiversity Assessment'!$J$102:$M$105),IF('Biodiversity Assessment'!$O$102&gt;0,'Biodiversity Assessment'!$O$102*VLOOKUP('ESVD - Social Value of Bio'!F30&amp;"1",'ESVD - SUMMARY TABLE'!$E$2:$G$294,3,),0)+IF('Biodiversity Assessment'!$O$103&gt;0,'Biodiversity Assessment'!$O$103*VLOOKUP('ESVD - Social Value of Bio'!F30&amp;"2",'ESVD - SUMMARY TABLE'!$E$2:$G$294,3,),0)+IF('Biodiversity Assessment'!$O$104&gt;0,'Biodiversity Assessment'!$O$104*VLOOKUP('ESVD - Social Value of Bio'!F30&amp;"3",'ESVD - SUMMARY TABLE'!$E$2:$G$294,3,),0)+IF('Biodiversity Assessment'!$O$105&gt;0,'Biodiversity Assessment'!$O$105*VLOOKUP('ESVD - Social Value of Bio'!F30&amp;"4",'ESVD - SUMMARY TABLE'!$E$2:$G$294,3,),0),0),IF(E30='ESVD - Land Use &amp; Climate Match'!$A$11,IF(SUM('Biodiversity Assessment'!$AH$102:$AN$105)=SUM('Biodiversity Assessment'!$Z$102:$AF$105),IF('Biodiversity Assessment'!$AH$102&gt;0,'Biodiversity Assessment'!$AH$102*VLOOKUP('ESVD - Social Value of Bio'!F30&amp;"1",'ESVD - SUMMARY TABLE'!$E$2:$G$294,3,FALSE),0)+IF('Biodiversity Assessment'!$AH$103&gt;0,'Biodiversity Assessment'!$AH$103*VLOOKUP('ESVD - Social Value of Bio'!F30&amp;"2",'ESVD - SUMMARY TABLE'!$E$2:$G$294,3,FALSE),0)+IF('Biodiversity Assessment'!$AH$104&gt;0,'Biodiversity Assessment'!$AH$104*VLOOKUP('ESVD - Social Value of Bio'!F30&amp;"3",'ESVD - SUMMARY TABLE'!$E$2:$G$294,3,FALSE),0)+IF('Biodiversity Assessment'!$AH$105&gt;0,'Biodiversity Assessment'!$AH$105*VLOOKUP('ESVD - Social Value of Bio'!F30&amp;"4",'ESVD - SUMMARY TABLE'!$E$2:$G$294,3,FALSE),0),0),IF(E30='ESVD - Land Use &amp; Climate Match'!$A$32,IF(SUM('Biodiversity Assessment'!$BF$102:$BF$106)=SUM('Biodiversity Assessment'!$BD$102:$BD$106),IF('Biodiversity Assessment'!$BF$102&gt;0,'Biodiversity Assessment'!$BF$102*VLOOKUP('ESVD - Social Value of Bio'!F30&amp;"1",'ESVD - SUMMARY TABLE'!$E$2:$G$294,3,FALSE),0)+IF('Biodiversity Assessment'!$BF$103&gt;0,'Biodiversity Assessment'!$BF$103*VLOOKUP('ESVD - Social Value of Bio'!F30&amp;"2",'ESVD - SUMMARY TABLE'!$E$2:$G$294,3,FALSE),0)+IF('Biodiversity Assessment'!$BF$104&gt;0,'Biodiversity Assessment'!$BF$104*VLOOKUP('ESVD - Social Value of Bio'!F30&amp;"3",'ESVD - SUMMARY TABLE'!$E$2:$G$294,3,FALSE),0)+IF('Biodiversity Assessment'!$BF$105&gt;0,'Biodiversity Assessment'!$BF$105*VLOOKUP('ESVD - Social Value of Bio'!F30&amp;"4",'ESVD - SUMMARY TABLE'!$E$2:$G$294,3,FALSE),0)+IF('Biodiversity Assessment'!$BF$106&gt;0,'Biodiversity Assessment'!$BF$106*VLOOKUP('ESVD - Social Value of Bio'!F30&amp;"5",'ESVD - SUMMARY TABLE'!$E$2:$G$294,3,FALSE),0),0),AVERAGE(IF(SUM('Biodiversity Assessment'!$O$102:$P$105)=SUM('Biodiversity Assessment'!$J$102:$M$105),IF('Biodiversity Assessment'!$O$102&gt;0,'Biodiversity Assessment'!$O$102*VLOOKUP(CONCATENATE($B30,$C30,'ESVD - Land Use &amp; Climate Match'!$A$1)&amp;"1",'ESVD - SUMMARY TABLE'!$E$2:$G$294,3,),0)+IF('Biodiversity Assessment'!$O$103&gt;0,'Biodiversity Assessment'!$O$103*VLOOKUP(CONCATENATE($B30,$C30,'ESVD - Land Use &amp; Climate Match'!$A$1)&amp;"2",'ESVD - SUMMARY TABLE'!$E$2:$G$294,3,),0)+IF('Biodiversity Assessment'!$O$104&gt;0,'Biodiversity Assessment'!$O$104*VLOOKUP(CONCATENATE($B30,$C30,'ESVD - Land Use &amp; Climate Match'!$A$1)&amp;"3",'ESVD - SUMMARY TABLE'!$E$2:$G$294,3,),0)+IF('Biodiversity Assessment'!$O$105&gt;0,'Biodiversity Assessment'!$O$105*VLOOKUP(CONCATENATE($B30,$C30,'ESVD - Land Use &amp; Climate Match'!$A$1)&amp;"4",'ESVD - SUMMARY TABLE'!$E$2:$G$294,3,),0),0),IF(SUM('Biodiversity Assessment'!$AH$102:$AN$105)=SUM('Biodiversity Assessment'!$Z$102:$AF$105),IF('Biodiversity Assessment'!$AH$102&gt;0,'Biodiversity Assessment'!$AH$102*VLOOKUP(CONCATENATE($B30,$C30,'ESVD - Land Use &amp; Climate Match'!$A$11)&amp;"1",'ESVD - SUMMARY TABLE'!$E$2:$G$294,3,FALSE),0)+IF('Biodiversity Assessment'!$AH$103&gt;0,'Biodiversity Assessment'!$AH$103*VLOOKUP(CONCATENATE($B30,$C30,'ESVD - Land Use &amp; Climate Match'!$A$11)&amp;"2",'ESVD - SUMMARY TABLE'!$E$2:$G$294,3,FALSE),0)+IF('Biodiversity Assessment'!$AH$104&gt;0,'Biodiversity Assessment'!$AH$104*VLOOKUP(CONCATENATE($B30,$C30,'ESVD - Land Use &amp; Climate Match'!$A$11)&amp;"3",'ESVD - SUMMARY TABLE'!$E$2:$G$294,3,FALSE),0)+IF('Biodiversity Assessment'!$AH$105&gt;0,'Biodiversity Assessment'!$AH$105*VLOOKUP(CONCATENATE($B30,$C30,'ESVD - Land Use &amp; Climate Match'!$A$11)&amp;"4",'ESVD - SUMMARY TABLE'!$E$2:$G$294,3,FALSE),0),0),IF(SUM('Biodiversity Assessment'!$BF$102:$BF$106)=SUM('Biodiversity Assessment'!$BD$102:$BD$106),IF('Biodiversity Assessment'!$BF$102&gt;0,'Biodiversity Assessment'!$BF$102*VLOOKUP(CONCATENATE($B30,$C30,'ESVD - Land Use &amp; Climate Match'!$A$32)&amp;"1",'ESVD - SUMMARY TABLE'!$E$2:$G$294,3,FALSE),0)+IF('Biodiversity Assessment'!$BF$103&gt;0,'Biodiversity Assessment'!$BF$103*VLOOKUP(CONCATENATE($B30,$C30,'ESVD - Land Use &amp; Climate Match'!$A$32)&amp;"2",'ESVD - SUMMARY TABLE'!$E$2:$G$294,3,FALSE),0)+IF('Biodiversity Assessment'!$BF$104&gt;0,'Biodiversity Assessment'!$BF$104*VLOOKUP(CONCATENATE($B30,$C30,'ESVD - Land Use &amp; Climate Match'!$A$32)&amp;"3",'ESVD - SUMMARY TABLE'!$E$2:$G$294,3,FALSE),0)+IF('Biodiversity Assessment'!$BF$105&gt;0,'Biodiversity Assessment'!$BF$105*VLOOKUP(CONCATENATE($B30,$C30,'ESVD - Land Use &amp; Climate Match'!$A$32)&amp;"4",'ESVD - SUMMARY TABLE'!$E$2:$G$294,3,FALSE),0)+IF('Biodiversity Assessment'!$BF$106&gt;0,'Biodiversity Assessment'!$BF$106*VLOOKUP(CONCATENATE($B30,$C30,'ESVD - Land Use &amp; Climate Match'!$A$32)&amp;"5",'ESVD - SUMMARY TABLE'!$E$2:$G$294,3,FALSE),0),0))))),0)</f>
        <v>0</v>
      </c>
      <c r="I30" s="122">
        <f>'Biodiversity Assessment'!CR45</f>
        <v>0</v>
      </c>
      <c r="J30" s="122">
        <f>IFERROR(IF(I30&gt;0,I30*'Biodiversity Assessment'!$M45,IF(H30&gt;0,H30*'Biodiversity Assessment'!$M45,G30*'Biodiversity Assessment'!$M45)),0)</f>
        <v>0</v>
      </c>
      <c r="K30" s="454"/>
      <c r="L30" s="123">
        <f>IFERROR(IF(E30='ESVD - Land Use &amp; Climate Match'!$A$1,IF('Biodiversity Assessment'!$J$102&gt;0,'Biodiversity Assessment'!$J$102*VLOOKUP('ESVD - Social Value of Bio'!F30&amp;"1",'ESVD - SUMMARY TABLE'!$E$2:$G$294,3,),0)+IF('Biodiversity Assessment'!$J$103&gt;0,'Biodiversity Assessment'!$J$103*VLOOKUP('ESVD - Social Value of Bio'!F30&amp;"2",'ESVD - SUMMARY TABLE'!$E$2:$G$294,3,),0)+IF('Biodiversity Assessment'!$J$104&gt;0,'Biodiversity Assessment'!$J$104*VLOOKUP('ESVD - Social Value of Bio'!F30&amp;"3",'ESVD - SUMMARY TABLE'!$E$2:$G$294,3,),0)+IF('Biodiversity Assessment'!$J$105&gt;0,'Biodiversity Assessment'!$J$105*VLOOKUP('ESVD - Social Value of Bio'!F30&amp;"4",'ESVD - SUMMARY TABLE'!$E$2:$G$294,3,),0),IF(E30='ESVD - Land Use &amp; Climate Match'!$A$11,IF('Biodiversity Assessment'!$Z$102&gt;0,'Biodiversity Assessment'!$Z$102*VLOOKUP('ESVD - Social Value of Bio'!F30&amp;"1",'ESVD - SUMMARY TABLE'!$E$2:$G$294,3,FALSE),0)+IF('Biodiversity Assessment'!$Z$103&gt;0,'Biodiversity Assessment'!$Z$103*VLOOKUP('ESVD - Social Value of Bio'!F30&amp;"2",'ESVD - SUMMARY TABLE'!$E$2:$G$294,3,FALSE),0)+IF('Biodiversity Assessment'!$Z$104&gt;0,'Biodiversity Assessment'!$Z$104*VLOOKUP('ESVD - Social Value of Bio'!F30&amp;"3",'ESVD - SUMMARY TABLE'!$E$2:$G$294,3,FALSE),0)+IF('Biodiversity Assessment'!$Z$105&gt;0,'Biodiversity Assessment'!$Z$105*VLOOKUP('ESVD - Social Value of Bio'!F30&amp;"4",'ESVD - SUMMARY TABLE'!$E$2:$G$294,3,FALSE),0),IF(E30='ESVD - Land Use &amp; Climate Match'!$A$32,IF('Biodiversity Assessment'!$BD$102&gt;0,'Biodiversity Assessment'!$BD$102*VLOOKUP('ESVD - Social Value of Bio'!F30&amp;"1",'ESVD - SUMMARY TABLE'!$E$2:$G$294,3,FALSE),0)+IF('Biodiversity Assessment'!$BD$103&gt;0,'Biodiversity Assessment'!$BD$103*VLOOKUP('ESVD - Social Value of Bio'!F30&amp;"2",'ESVD - SUMMARY TABLE'!$E$2:$G$294,3,FALSE),0)+IF('Biodiversity Assessment'!$BD$104&gt;0,'Biodiversity Assessment'!$BD$104*VLOOKUP('ESVD - Social Value of Bio'!F30&amp;"3",'ESVD - SUMMARY TABLE'!$E$2:$G$294,3,FALSE),0)+IF('Biodiversity Assessment'!$BD$105&gt;0,'Biodiversity Assessment'!$BD$105*VLOOKUP('ESVD - Social Value of Bio'!F30&amp;"4",'ESVD - SUMMARY TABLE'!$E$2:$G$294,3,FALSE),0)+IF('Biodiversity Assessment'!$BD$106&gt;0,'Biodiversity Assessment'!$BD$106*VLOOKUP('ESVD - Social Value of Bio'!F30&amp;"5",'ESVD - SUMMARY TABLE'!$E$2:$G$294,3,FALSE),0),VLOOKUP('ESVD - Social Value of Bio'!F30&amp;"1",'ESVD - SUMMARY TABLE'!$E$2:$G$294,3,FALSE)))),0)</f>
        <v>0</v>
      </c>
      <c r="M30" s="123">
        <f>IFERROR(IF(E30='ESVD - Land Use &amp; Climate Match'!$A$1,IF(SUM('Biodiversity Assessment'!$O$102:$P$105)=SUM('Biodiversity Assessment'!$J$102:$M$105),IF('Biodiversity Assessment'!$O$102&gt;0,'Biodiversity Assessment'!$O$102*VLOOKUP('ESVD - Social Value of Bio'!F30&amp;"1",'ESVD - SUMMARY TABLE'!$E$2:$G$294,3,),0)+IF('Biodiversity Assessment'!$O$103&gt;0,'Biodiversity Assessment'!$O$103*VLOOKUP('ESVD - Social Value of Bio'!F30&amp;"2",'ESVD - SUMMARY TABLE'!$E$2:$G$294,3,),0)+IF('Biodiversity Assessment'!$O$104&gt;0,'Biodiversity Assessment'!$O$104*VLOOKUP('ESVD - Social Value of Bio'!F30&amp;"3",'ESVD - SUMMARY TABLE'!$E$2:$G$294,3,),0)+IF('Biodiversity Assessment'!$O$105&gt;0,'Biodiversity Assessment'!$O$105*VLOOKUP('ESVD - Social Value of Bio'!F30&amp;"4",'ESVD - SUMMARY TABLE'!$E$2:$G$294,3,),0),0),IF(E30='ESVD - Land Use &amp; Climate Match'!$A$11,IF(SUM('Biodiversity Assessment'!$AH$102:$AN$105)=SUM('Biodiversity Assessment'!$Z$102:$AF$105),IF('Biodiversity Assessment'!$AH$102&gt;0,'Biodiversity Assessment'!$AH$102*VLOOKUP('ESVD - Social Value of Bio'!F30&amp;"1",'ESVD - SUMMARY TABLE'!$E$2:$G$294,3,FALSE),0)+IF('Biodiversity Assessment'!$AH$103&gt;0,'Biodiversity Assessment'!$AH$103*VLOOKUP('ESVD - Social Value of Bio'!F30&amp;"2",'ESVD - SUMMARY TABLE'!$E$2:$G$294,3,FALSE),0)+IF('Biodiversity Assessment'!$AH$104&gt;0,'Biodiversity Assessment'!$AH$104*VLOOKUP('ESVD - Social Value of Bio'!F30&amp;"3",'ESVD - SUMMARY TABLE'!$E$2:$G$294,3,FALSE),0)+IF('Biodiversity Assessment'!$AH$105&gt;0,'Biodiversity Assessment'!$AH$105*VLOOKUP('ESVD - Social Value of Bio'!F30&amp;"4",'ESVD - SUMMARY TABLE'!$E$2:$G$294,3,FALSE),0),0),IF(E30='ESVD - Land Use &amp; Climate Match'!$A$32,IF(SUM('Biodiversity Assessment'!$BF$102:$BF$106)=SUM('Biodiversity Assessment'!$BD$102:$BD$106),IF('Biodiversity Assessment'!$BF$102&gt;0,'Biodiversity Assessment'!$BF$102*VLOOKUP('ESVD - Social Value of Bio'!F30&amp;"1",'ESVD - SUMMARY TABLE'!$E$2:$G$294,3,FALSE),0)+IF('Biodiversity Assessment'!$BF$103&gt;0,'Biodiversity Assessment'!$BF$103*VLOOKUP('ESVD - Social Value of Bio'!F30&amp;"2",'ESVD - SUMMARY TABLE'!$E$2:$G$294,3,FALSE),0)+IF('Biodiversity Assessment'!$BF$104&gt;0,'Biodiversity Assessment'!$BF$104*VLOOKUP('ESVD - Social Value of Bio'!F30&amp;"3",'ESVD - SUMMARY TABLE'!$E$2:$G$294,3,FALSE),0)+IF('Biodiversity Assessment'!$BF$105&gt;0,'Biodiversity Assessment'!$BF$105*VLOOKUP('ESVD - Social Value of Bio'!F30&amp;"4",'ESVD - SUMMARY TABLE'!$E$2:$G$294,3,FALSE),0)+IF('Biodiversity Assessment'!$BF$106&gt;0,'Biodiversity Assessment'!$BF$106*VLOOKUP('ESVD - Social Value of Bio'!F30&amp;"5",'ESVD - SUMMARY TABLE'!$E$2:$G$294,3,FALSE),0),0),VLOOKUP('ESVD - Social Value of Bio'!F30&amp;"1",'ESVD - SUMMARY TABLE'!$E$2:$G$294,3,FALSE)))),0)</f>
        <v>0</v>
      </c>
      <c r="N30" s="123">
        <f>'Biodiversity Assessment'!CR45</f>
        <v>0</v>
      </c>
      <c r="O30" s="124">
        <f>IFERROR(IF(N30&gt;0,N30*'Biodiversity Assessment'!M45,IF(M30&gt;0,M30*'Biodiversity Assessment'!M45,L30*'Biodiversity Assessment'!M45)),0)</f>
        <v>0</v>
      </c>
      <c r="P30" s="456"/>
      <c r="R30" s="108" t="str">
        <f>'Biodiversity Assessment'!O45</f>
        <v>Select land use</v>
      </c>
      <c r="S30" s="109" t="str">
        <f>IF(OR(R30=Data!$E$4,R30=Data!$E$5,R30=Data!$E$6,R30=Data!$E$7),Data!$E$4,IF(OR(R30=Data!$E$9,R30=Data!$E$10,R30=Data!$E$11),Data!$E$9,IF(OR(R30=Data!$E$12,R30=Data!$E$13,R30=Data!$E$14),"Cropland",IF(OR(R30=Data!$E$16,R30=Data!$E$17),"Agroforestry",R30))))</f>
        <v>Select land use</v>
      </c>
      <c r="T30" s="109" t="str">
        <f t="shared" si="1"/>
        <v>Please selectPlease selectSelect land use</v>
      </c>
      <c r="U30" s="122">
        <f>IFERROR(IF(S30='ESVD - Land Use &amp; Climate Match'!$A$1,IF('Biodiversity Assessment'!$J$102&gt;0,'Biodiversity Assessment'!$J$102*VLOOKUP('ESVD - Social Value of Bio'!T30&amp;"1",'ESVD - SUMMARY TABLE'!$E$2:$G$294,3,),0)+IF('Biodiversity Assessment'!$J$103&gt;0,'Biodiversity Assessment'!$J$103*VLOOKUP('ESVD - Social Value of Bio'!T30&amp;"2",'ESVD - SUMMARY TABLE'!$E$2:$G$294,3,),0)+IF('Biodiversity Assessment'!$J$104&gt;0,'Biodiversity Assessment'!$J$104*VLOOKUP('ESVD - Social Value of Bio'!T30&amp;"3",'ESVD - SUMMARY TABLE'!$E$2:$G$294,3,),0)+IF('Biodiversity Assessment'!$J$105&gt;0,'Biodiversity Assessment'!$J$105*VLOOKUP('ESVD - Social Value of Bio'!T30&amp;"4",'ESVD - SUMMARY TABLE'!$E$2:$G$294,3,),0),IF(S30='ESVD - Land Use &amp; Climate Match'!$A$11,IF('Biodiversity Assessment'!$Z$102&gt;0,'Biodiversity Assessment'!$Z$102*VLOOKUP('ESVD - Social Value of Bio'!T30&amp;"1",'ESVD - SUMMARY TABLE'!$E$2:$G$294,3,FALSE),0)+IF('Biodiversity Assessment'!$Z$103&gt;0,'Biodiversity Assessment'!$Z$103*VLOOKUP('ESVD - Social Value of Bio'!T30&amp;"2",'ESVD - SUMMARY TABLE'!$E$2:$G$294,3,FALSE),0)+IF('Biodiversity Assessment'!$Z$104&gt;0,'Biodiversity Assessment'!$Z$104*VLOOKUP('ESVD - Social Value of Bio'!T30&amp;"3",'ESVD - SUMMARY TABLE'!$E$2:$G$294,3,FALSE),0)+IF('Biodiversity Assessment'!$Z$105&gt;0,'Biodiversity Assessment'!$Z$105*VLOOKUP('ESVD - Social Value of Bio'!T30&amp;"4",'ESVD - SUMMARY TABLE'!$E$2:$G$294,3,FALSE),0),IF(S30='ESVD - Land Use &amp; Climate Match'!$A$32,IF('Biodiversity Assessment'!$BD$102&gt;0,'Biodiversity Assessment'!$BD$102*VLOOKUP('ESVD - Social Value of Bio'!T30&amp;"1",'ESVD - SUMMARY TABLE'!$E$2:$G$294,3,FALSE),0)+IF('Biodiversity Assessment'!$BD$103&gt;0,'Biodiversity Assessment'!$BD$103*VLOOKUP('ESVD - Social Value of Bio'!T30&amp;"2",'ESVD - SUMMARY TABLE'!$E$2:$G$294,3,FALSE),0)+IF('Biodiversity Assessment'!$BD$104&gt;0,'Biodiversity Assessment'!$BD$104*VLOOKUP('ESVD - Social Value of Bio'!T30&amp;"3",'ESVD - SUMMARY TABLE'!$E$2:$G$294,3,FALSE),0)+IF('Biodiversity Assessment'!$BD$105&gt;0,'Biodiversity Assessment'!$BD$105*VLOOKUP('ESVD - Social Value of Bio'!T30&amp;"4",'ESVD - SUMMARY TABLE'!$E$2:$G$294,3,FALSE),0)+IF('Biodiversity Assessment'!$BD$106&gt;0,'Biodiversity Assessment'!$BD$106*VLOOKUP('ESVD - Social Value of Bio'!T30&amp;"5",'ESVD - SUMMARY TABLE'!$E$2:$G$294,3,FALSE),0),AVERAGE(IF('Biodiversity Assessment'!$J$102&gt;0,'Biodiversity Assessment'!$J$102*VLOOKUP(CONCATENATE(B30,C30,'ESVD - Land Use &amp; Climate Match'!$A$1)&amp;"1",'ESVD - SUMMARY TABLE'!$E$2:$G$294,3,),0)+IF('Biodiversity Assessment'!$J$103&gt;0,'Biodiversity Assessment'!$J$103*VLOOKUP(CONCATENATE(B30,C30,'ESVD - Land Use &amp; Climate Match'!$A$1)&amp;"2",'ESVD - SUMMARY TABLE'!$E$2:$G$294,3,),0)+IF('Biodiversity Assessment'!$J$104&gt;0,'Biodiversity Assessment'!$J$104*VLOOKUP(CONCATENATE(B30,C30,'ESVD - Land Use &amp; Climate Match'!$A$1)&amp;"3",'ESVD - SUMMARY TABLE'!$E$2:$G$294,3,),0)+IF('Biodiversity Assessment'!$J$105&gt;0,'Biodiversity Assessment'!$J$105*VLOOKUP(CONCATENATE(B30,C30,'ESVD - Land Use &amp; Climate Match'!$A$1)&amp;"4",'ESVD - SUMMARY TABLE'!$E$2:$G$294,3,),0),IF('Biodiversity Assessment'!$Z$102&gt;0,'Biodiversity Assessment'!$Z$102*VLOOKUP(CONCATENATE(B30,C30,'ESVD - Land Use &amp; Climate Match'!$A$11)&amp;"1",'ESVD - SUMMARY TABLE'!$E$2:$G$294,3,FALSE),0)+IF('Biodiversity Assessment'!$Z$103&gt;0,'Biodiversity Assessment'!$Z$103*VLOOKUP(CONCATENATE(B30,C30,'ESVD - Land Use &amp; Climate Match'!$A$11)&amp;"2",'ESVD - SUMMARY TABLE'!$E$2:$G$294,3,FALSE),0)+IF('Biodiversity Assessment'!$Z$104&gt;0,'Biodiversity Assessment'!$Z$104*VLOOKUP(CONCATENATE(B30,C30,'ESVD - Land Use &amp; Climate Match'!$A$11)&amp;"3",'ESVD - SUMMARY TABLE'!$E$2:$G$294,3,FALSE),0)+IF('Biodiversity Assessment'!$Z$105&gt;0,'Biodiversity Assessment'!$Z$105*VLOOKUP(CONCATENATE(B30,C30,'ESVD - Land Use &amp; Climate Match'!$A$11)&amp;"4",'ESVD - SUMMARY TABLE'!$E$2:$G$294,3,FALSE),0),IF('Biodiversity Assessment'!$BD$102&gt;0,'Biodiversity Assessment'!$BD$102*VLOOKUP(CONCATENATE(B30,C30,'ESVD - Land Use &amp; Climate Match'!$A$32)&amp;"1",'ESVD - SUMMARY TABLE'!$E$2:$G$294,3,FALSE),0)+IF('Biodiversity Assessment'!$BD$103&gt;0,'Biodiversity Assessment'!$BD$103*VLOOKUP(CONCATENATE(B30,C30,'ESVD - Land Use &amp; Climate Match'!$A$32)&amp;"2",'ESVD - SUMMARY TABLE'!$E$2:$G$294,3,FALSE),0)+IF('Biodiversity Assessment'!$BD$104&gt;0,'Biodiversity Assessment'!$BD$104*VLOOKUP(CONCATENATE(B30,C30,'ESVD - Land Use &amp; Climate Match'!$A$32)&amp;"3",'ESVD - SUMMARY TABLE'!$E$2:$G$294,3,FALSE),0)+IF('Biodiversity Assessment'!$BD$105&gt;0,'Biodiversity Assessment'!$BD$105*VLOOKUP(CONCATENATE(B30,C30,'ESVD - Land Use &amp; Climate Match'!$A$32)&amp;"4",'ESVD - SUMMARY TABLE'!$E$2:$G$294,3,FALSE),0)+IF('Biodiversity Assessment'!$BD$106&gt;0,'Biodiversity Assessment'!$BD$106*VLOOKUP(CONCATENATE(B30,C30,'ESVD - Land Use &amp; Climate Match'!$A$32)&amp;"5",'ESVD - SUMMARY TABLE'!$E$2:$G$294,3,FALSE)))))),0)</f>
        <v>0</v>
      </c>
      <c r="V30" s="122">
        <f>IFERROR(IF(S30='ESVD - Land Use &amp; Climate Match'!$A$1,IF(SUM('Biodiversity Assessment'!$O$102:$P$105)=SUM('Biodiversity Assessment'!$J$102:$M$105),IF('Biodiversity Assessment'!$O$102&gt;0,'Biodiversity Assessment'!$O$102*VLOOKUP('ESVD - Social Value of Bio'!T30&amp;"1",'ESVD - SUMMARY TABLE'!$E$2:$G$294,3,),0)+IF('Biodiversity Assessment'!$O$103&gt;0,'Biodiversity Assessment'!$O$103*VLOOKUP('ESVD - Social Value of Bio'!T30&amp;"2",'ESVD - SUMMARY TABLE'!$E$2:$G$294,3,),0)+IF('Biodiversity Assessment'!$O$104&gt;0,'Biodiversity Assessment'!$O$104*VLOOKUP('ESVD - Social Value of Bio'!T30&amp;"3",'ESVD - SUMMARY TABLE'!$E$2:$G$294,3,),0)+IF('Biodiversity Assessment'!$O$105&gt;0,'Biodiversity Assessment'!$O$105*VLOOKUP('ESVD - Social Value of Bio'!T30&amp;"4",'ESVD - SUMMARY TABLE'!$E$2:$G$294,3,),0),0),IF(S30='ESVD - Land Use &amp; Climate Match'!$A$11,IF(SUM('Biodiversity Assessment'!$AH$102:$AN$105)=SUM('Biodiversity Assessment'!$Z$102:$AF$105),IF('Biodiversity Assessment'!$AH$102&gt;0,'Biodiversity Assessment'!$AH$102*VLOOKUP('ESVD - Social Value of Bio'!T30&amp;"1",'ESVD - SUMMARY TABLE'!$E$2:$G$294,3,FALSE),0)+IF('Biodiversity Assessment'!$AH$103&gt;0,'Biodiversity Assessment'!$AH$103*VLOOKUP('ESVD - Social Value of Bio'!T30&amp;"2",'ESVD - SUMMARY TABLE'!$E$2:$G$294,3,FALSE),0)+IF('Biodiversity Assessment'!$AH$104&gt;0,'Biodiversity Assessment'!$AH$104*VLOOKUP('ESVD - Social Value of Bio'!T30&amp;"3",'ESVD - SUMMARY TABLE'!$E$2:$G$294,3,FALSE),0)+IF('Biodiversity Assessment'!$AH$105&gt;0,'Biodiversity Assessment'!$AH$105*VLOOKUP('ESVD - Social Value of Bio'!T30&amp;"4",'ESVD - SUMMARY TABLE'!$E$2:$G$294,3,FALSE),0),0),IF(S30='ESVD - Land Use &amp; Climate Match'!$A$32,IF(SUM('Biodiversity Assessment'!$BF$102:$BF$106)=SUM('Biodiversity Assessment'!$BD$102:$BD$106),IF('Biodiversity Assessment'!$BF$102&gt;0,'Biodiversity Assessment'!$BF$102*VLOOKUP('ESVD - Social Value of Bio'!T30&amp;"1",'ESVD - SUMMARY TABLE'!$E$2:$G$294,3,FALSE),0)+IF('Biodiversity Assessment'!$BF$103&gt;0,'Biodiversity Assessment'!$BF$103*VLOOKUP('ESVD - Social Value of Bio'!T30&amp;"2",'ESVD - SUMMARY TABLE'!$E$2:$G$294,3,FALSE),0)+IF('Biodiversity Assessment'!$BF$104&gt;0,'Biodiversity Assessment'!$BF$104*VLOOKUP('ESVD - Social Value of Bio'!T30&amp;"3",'ESVD - SUMMARY TABLE'!$E$2:$G$294,3,FALSE),0)+IF('Biodiversity Assessment'!$BF$105&gt;0,'Biodiversity Assessment'!$BF$105*VLOOKUP('ESVD - Social Value of Bio'!T30&amp;"4",'ESVD - SUMMARY TABLE'!$E$2:$G$294,3,FALSE),0)+IF('Biodiversity Assessment'!$BF$106&gt;0,'Biodiversity Assessment'!$BF$106*VLOOKUP('ESVD - Social Value of Bio'!T30&amp;"5",'ESVD - SUMMARY TABLE'!$E$2:$G$294,3,FALSE),0),0),AVERAGE(IF(SUM('Biodiversity Assessment'!$O$102:$P$105)=SUM('Biodiversity Assessment'!$J$102:$M$105),IF('Biodiversity Assessment'!$O$102&gt;0,'Biodiversity Assessment'!$O$102*VLOOKUP(CONCATENATE($B30,$C30,'ESVD - Land Use &amp; Climate Match'!$A$1)&amp;"1",'ESVD - SUMMARY TABLE'!$E$2:$G$294,3,),0)+IF('Biodiversity Assessment'!$O$103&gt;0,'Biodiversity Assessment'!$O$103*VLOOKUP(CONCATENATE($B30,$C30,'ESVD - Land Use &amp; Climate Match'!$A$1)&amp;"2",'ESVD - SUMMARY TABLE'!$E$2:$G$294,3,),0)+IF('Biodiversity Assessment'!$O$104&gt;0,'Biodiversity Assessment'!$O$104*VLOOKUP(CONCATENATE($B30,$C30,'ESVD - Land Use &amp; Climate Match'!$A$1)&amp;"3",'ESVD - SUMMARY TABLE'!$E$2:$G$294,3,),0)+IF('Biodiversity Assessment'!$O$105&gt;0,'Biodiversity Assessment'!$O$105*VLOOKUP(CONCATENATE($B30,$C30,'ESVD - Land Use &amp; Climate Match'!$A$1)&amp;"4",'ESVD - SUMMARY TABLE'!$E$2:$G$294,3,),0),0),IF(SUM('Biodiversity Assessment'!$AH$102:$AN$105)=SUM('Biodiversity Assessment'!$Z$102:$AF$105),IF('Biodiversity Assessment'!$AH$102&gt;0,'Biodiversity Assessment'!$AH$102*VLOOKUP(CONCATENATE($B30,$C30,'ESVD - Land Use &amp; Climate Match'!$A$11)&amp;"1",'ESVD - SUMMARY TABLE'!$E$2:$G$294,3,FALSE),0)+IF('Biodiversity Assessment'!$AH$103&gt;0,'Biodiversity Assessment'!$AH$103*VLOOKUP(CONCATENATE($B30,$C30,'ESVD - Land Use &amp; Climate Match'!$A$11)&amp;"2",'ESVD - SUMMARY TABLE'!$E$2:$G$294,3,FALSE),0)+IF('Biodiversity Assessment'!$AH$104&gt;0,'Biodiversity Assessment'!$AH$104*VLOOKUP(CONCATENATE($B30,$C30,'ESVD - Land Use &amp; Climate Match'!$A$11)&amp;"3",'ESVD - SUMMARY TABLE'!$E$2:$G$294,3,FALSE),0)+IF('Biodiversity Assessment'!$AH$105&gt;0,'Biodiversity Assessment'!$AH$105*VLOOKUP(CONCATENATE($B30,$C30,'ESVD - Land Use &amp; Climate Match'!$A$11)&amp;"4",'ESVD - SUMMARY TABLE'!$E$2:$G$294,3,FALSE),0),0),IF(SUM('Biodiversity Assessment'!$BF$102:$BF$106)=SUM('Biodiversity Assessment'!$BD$102:$BD$106),IF('Biodiversity Assessment'!$BF$102&gt;0,'Biodiversity Assessment'!$BF$102*VLOOKUP(CONCATENATE($B30,$C30,'ESVD - Land Use &amp; Climate Match'!$A$32)&amp;"1",'ESVD - SUMMARY TABLE'!$E$2:$G$294,3,FALSE),0)+IF('Biodiversity Assessment'!$BF$103&gt;0,'Biodiversity Assessment'!$BF$103*VLOOKUP(CONCATENATE($B30,$C30,'ESVD - Land Use &amp; Climate Match'!$A$32)&amp;"2",'ESVD - SUMMARY TABLE'!$E$2:$G$294,3,FALSE),0)+IF('Biodiversity Assessment'!$BF$104&gt;0,'Biodiversity Assessment'!$BF$104*VLOOKUP(CONCATENATE($B30,$C30,'ESVD - Land Use &amp; Climate Match'!$A$32)&amp;"3",'ESVD - SUMMARY TABLE'!$E$2:$G$294,3,FALSE),0)+IF('Biodiversity Assessment'!$BF$105&gt;0,'Biodiversity Assessment'!$BF$105*VLOOKUP(CONCATENATE($B30,$C30,'ESVD - Land Use &amp; Climate Match'!$A$32)&amp;"4",'ESVD - SUMMARY TABLE'!$E$2:$G$294,3,FALSE),0)+IF('Biodiversity Assessment'!$BF$106&gt;0,'Biodiversity Assessment'!$BF$106*VLOOKUP(CONCATENATE($B30,$C30,'ESVD - Land Use &amp; Climate Match'!$A$32)&amp;"5",'ESVD - SUMMARY TABLE'!$E$2:$G$294,3,FALSE),0),0))))),0)</f>
        <v>0</v>
      </c>
      <c r="W30" s="122">
        <f>'Biodiversity Assessment'!CX45</f>
        <v>0</v>
      </c>
      <c r="X30" s="122">
        <f>IFERROR(IF(W30&gt;0,W30*'Biodiversity Assessment'!$U45,IF(V30&gt;0,V30*'Biodiversity Assessment'!$U45,U30*'Biodiversity Assessment'!$U45)),0)</f>
        <v>0</v>
      </c>
      <c r="Y30" s="454"/>
      <c r="Z30" s="123">
        <f>IFERROR(IF(S30='ESVD - Land Use &amp; Climate Match'!$A$1,IF('Biodiversity Assessment'!$J$102&gt;0,'Biodiversity Assessment'!$J$102*VLOOKUP('ESVD - Social Value of Bio'!T30&amp;"1",'ESVD - SUMMARY TABLE'!$E$2:$G$294,3,),0)+IF('Biodiversity Assessment'!$J$103&gt;0,'Biodiversity Assessment'!$J$103*VLOOKUP('ESVD - Social Value of Bio'!T30&amp;"2",'ESVD - SUMMARY TABLE'!$E$2:$G$294,3,),0)+IF('Biodiversity Assessment'!$J$104&gt;0,'Biodiversity Assessment'!$J$104*VLOOKUP('ESVD - Social Value of Bio'!T30&amp;"3",'ESVD - SUMMARY TABLE'!$E$2:$G$294,3,),0)+IF('Biodiversity Assessment'!$J$105&gt;0,'Biodiversity Assessment'!$J$105*VLOOKUP('ESVD - Social Value of Bio'!T30&amp;"4",'ESVD - SUMMARY TABLE'!$E$2:$G$294,3,),0),IF(S30='ESVD - Land Use &amp; Climate Match'!$A$11,IF('Biodiversity Assessment'!$Z$102&gt;0,'Biodiversity Assessment'!$Z$102*VLOOKUP('ESVD - Social Value of Bio'!T30&amp;"1",'ESVD - SUMMARY TABLE'!$E$2:$G$294,3,FALSE),0)+IF('Biodiversity Assessment'!$Z$103&gt;0,'Biodiversity Assessment'!$Z$103*VLOOKUP('ESVD - Social Value of Bio'!T30&amp;"2",'ESVD - SUMMARY TABLE'!$E$2:$G$294,3,FALSE),0)+IF('Biodiversity Assessment'!$Z$104&gt;0,'Biodiversity Assessment'!$Z$104*VLOOKUP('ESVD - Social Value of Bio'!T30&amp;"3",'ESVD - SUMMARY TABLE'!$E$2:$G$294,3,FALSE),0)+IF('Biodiversity Assessment'!$Z$105&gt;0,'Biodiversity Assessment'!$Z$105*VLOOKUP('ESVD - Social Value of Bio'!T30&amp;"4",'ESVD - SUMMARY TABLE'!$E$2:$G$294,3,FALSE),0),IF(S30='ESVD - Land Use &amp; Climate Match'!$A$32,IF('Biodiversity Assessment'!$BD$102&gt;0,'Biodiversity Assessment'!$BD$102*VLOOKUP('ESVD - Social Value of Bio'!T30&amp;"1",'ESVD - SUMMARY TABLE'!$E$2:$G$294,3,FALSE),0)+IF('Biodiversity Assessment'!$BD$103&gt;0,'Biodiversity Assessment'!$BD$103*VLOOKUP('ESVD - Social Value of Bio'!T30&amp;"2",'ESVD - SUMMARY TABLE'!$E$2:$G$294,3,FALSE),0)+IF('Biodiversity Assessment'!$BD$104&gt;0,'Biodiversity Assessment'!$BD$104*VLOOKUP('ESVD - Social Value of Bio'!T30&amp;"3",'ESVD - SUMMARY TABLE'!$E$2:$G$294,3,FALSE),0)+IF('Biodiversity Assessment'!$BD$105&gt;0,'Biodiversity Assessment'!$BD$105*VLOOKUP('ESVD - Social Value of Bio'!T30&amp;"4",'ESVD - SUMMARY TABLE'!$E$2:$G$294,3,FALSE),0)+IF('Biodiversity Assessment'!$BD$106&gt;0,'Biodiversity Assessment'!$BD$106*VLOOKUP('ESVD - Social Value of Bio'!T30&amp;"5",'ESVD - SUMMARY TABLE'!$E$2:$G$294,3,FALSE),0),VLOOKUP('ESVD - Social Value of Bio'!T30&amp;"1",'ESVD - SUMMARY TABLE'!$E$2:$G$294,3,FALSE)))),0)</f>
        <v>0</v>
      </c>
      <c r="AA30" s="123">
        <f>IFERROR(IF(S30='ESVD - Land Use &amp; Climate Match'!$A$1,IF(SUM('Biodiversity Assessment'!$O$102:$P$105)=SUM('Biodiversity Assessment'!$J$102:$M$105),IF('Biodiversity Assessment'!$O$102&gt;0,'Biodiversity Assessment'!$O$102*VLOOKUP('ESVD - Social Value of Bio'!T30&amp;"1",'ESVD - SUMMARY TABLE'!$E$2:$G$294,3,),0)+IF('Biodiversity Assessment'!$O$103&gt;0,'Biodiversity Assessment'!$O$103*VLOOKUP('ESVD - Social Value of Bio'!T30&amp;"2",'ESVD - SUMMARY TABLE'!$E$2:$G$294,3,),0)+IF('Biodiversity Assessment'!$O$104&gt;0,'Biodiversity Assessment'!$O$104*VLOOKUP('ESVD - Social Value of Bio'!T30&amp;"3",'ESVD - SUMMARY TABLE'!$E$2:$G$294,3,),0)+IF('Biodiversity Assessment'!$O$105&gt;0,'Biodiversity Assessment'!$O$105*VLOOKUP('ESVD - Social Value of Bio'!T30&amp;"4",'ESVD - SUMMARY TABLE'!$E$2:$G$294,3,),0),0),IF(S30='ESVD - Land Use &amp; Climate Match'!$A$11,IF(SUM('Biodiversity Assessment'!$AH$102:$AN$105)=SUM('Biodiversity Assessment'!$Z$102:$AF$105),IF('Biodiversity Assessment'!$AH$102&gt;0,'Biodiversity Assessment'!$AH$102*VLOOKUP('ESVD - Social Value of Bio'!T30&amp;"1",'ESVD - SUMMARY TABLE'!$E$2:$G$294,3,FALSE),0)+IF('Biodiversity Assessment'!$AH$103&gt;0,'Biodiversity Assessment'!$AH$103*VLOOKUP('ESVD - Social Value of Bio'!T30&amp;"2",'ESVD - SUMMARY TABLE'!$E$2:$G$294,3,FALSE),0)+IF('Biodiversity Assessment'!$AH$104&gt;0,'Biodiversity Assessment'!$AH$104*VLOOKUP('ESVD - Social Value of Bio'!T30&amp;"3",'ESVD - SUMMARY TABLE'!$E$2:$G$294,3,FALSE),0)+IF('Biodiversity Assessment'!$AH$105&gt;0,'Biodiversity Assessment'!$AH$105*VLOOKUP('ESVD - Social Value of Bio'!T30&amp;"4",'ESVD - SUMMARY TABLE'!$E$2:$G$294,3,FALSE),0),0),IF(S30='ESVD - Land Use &amp; Climate Match'!$A$32,IF(SUM('Biodiversity Assessment'!$BF$102:$BF$106)=SUM('Biodiversity Assessment'!$BD$102:$BD$106),IF('Biodiversity Assessment'!$BF$102&gt;0,'Biodiversity Assessment'!$BF$102*VLOOKUP('ESVD - Social Value of Bio'!T30&amp;"1",'ESVD - SUMMARY TABLE'!$E$2:$G$294,3,FALSE),0)+IF('Biodiversity Assessment'!$BF$103&gt;0,'Biodiversity Assessment'!$BF$103*VLOOKUP('ESVD - Social Value of Bio'!T30&amp;"2",'ESVD - SUMMARY TABLE'!$E$2:$G$294,3,FALSE),0)+IF('Biodiversity Assessment'!$BF$104&gt;0,'Biodiversity Assessment'!$BF$104*VLOOKUP('ESVD - Social Value of Bio'!T30&amp;"3",'ESVD - SUMMARY TABLE'!$E$2:$G$294,3,FALSE),0)+IF('Biodiversity Assessment'!$BF$105&gt;0,'Biodiversity Assessment'!$BF$105*VLOOKUP('ESVD - Social Value of Bio'!T30&amp;"4",'ESVD - SUMMARY TABLE'!$E$2:$G$294,3,FALSE),0)+IF('Biodiversity Assessment'!$BF$106&gt;0,'Biodiversity Assessment'!$BF$106*VLOOKUP('ESVD - Social Value of Bio'!T30&amp;"5",'ESVD - SUMMARY TABLE'!$E$2:$G$294,3,FALSE),0),0),VLOOKUP('ESVD - Social Value of Bio'!T30&amp;"1",'ESVD - SUMMARY TABLE'!$E$2:$G$294,3,FALSE)))),0)</f>
        <v>0</v>
      </c>
      <c r="AB30" s="123">
        <f>'Biodiversity Assessment'!CX45</f>
        <v>0</v>
      </c>
      <c r="AC30" s="124">
        <f>IFERROR(IF(AB30&gt;0,AB30*'Biodiversity Assessment'!U45,IF(AA30&gt;0,AA30*'Biodiversity Assessment'!U45,Z30*'Biodiversity Assessment'!U45)),0)</f>
        <v>0</v>
      </c>
      <c r="AD30" s="456"/>
      <c r="AG30" s="453"/>
    </row>
    <row r="31" spans="1:33" s="110" customFormat="1" ht="10.5" x14ac:dyDescent="0.25">
      <c r="A31" s="107" t="s">
        <v>406</v>
      </c>
      <c r="B31" s="108" t="str">
        <f>IF(Start!$D$28&gt;1000,CONCATENATE(Start!$D$20," Mountain"),Start!$D$20)</f>
        <v>Please select</v>
      </c>
      <c r="C31" s="108" t="str">
        <f>Start!$D$24</f>
        <v>Please select</v>
      </c>
      <c r="D31" s="109" t="str">
        <f>'Biodiversity Assessment'!G46</f>
        <v>Select land use</v>
      </c>
      <c r="E31" s="109" t="str">
        <f>IF(OR(D31=Data!$E$4,D31=Data!$E$5,D31=Data!$E$6,D31=Data!$E$7),Data!$E$4,IF(OR(D31=Data!$E$9,D31=Data!$E$10,D31=Data!$E$11),Data!$E$9,IF(OR(D31=Data!$E$12,D31=Data!$E$13,D31=Data!$E$14),"Cropland",IF(OR(D31=Data!$E$16,D31=Data!$E$17),"Agroforestry",D31))))</f>
        <v>Select land use</v>
      </c>
      <c r="F31" s="109" t="str">
        <f t="shared" si="0"/>
        <v>Please selectPlease selectSelect land use</v>
      </c>
      <c r="G31" s="122">
        <f>IFERROR(IF(E31='ESVD - Land Use &amp; Climate Match'!$A$1,IF('Biodiversity Assessment'!$J$102&gt;0,'Biodiversity Assessment'!$J$102*VLOOKUP('ESVD - Social Value of Bio'!F31&amp;"1",'ESVD - SUMMARY TABLE'!$E$2:$G$294,3,),0)+IF('Biodiversity Assessment'!$J$103&gt;0,'Biodiversity Assessment'!$J$103*VLOOKUP('ESVD - Social Value of Bio'!F31&amp;"2",'ESVD - SUMMARY TABLE'!$E$2:$G$294,3,),0)+IF('Biodiversity Assessment'!$J$104&gt;0,'Biodiversity Assessment'!$J$104*VLOOKUP('ESVD - Social Value of Bio'!F31&amp;"3",'ESVD - SUMMARY TABLE'!$E$2:$G$294,3,),0)+IF('Biodiversity Assessment'!$J$105&gt;0,'Biodiversity Assessment'!$J$105*VLOOKUP('ESVD - Social Value of Bio'!F31&amp;"4",'ESVD - SUMMARY TABLE'!$E$2:$G$294,3,),0),IF(E31='ESVD - Land Use &amp; Climate Match'!$A$11,IF('Biodiversity Assessment'!$Z$102&gt;0,'Biodiversity Assessment'!$Z$102*VLOOKUP('ESVD - Social Value of Bio'!F31&amp;"1",'ESVD - SUMMARY TABLE'!$E$2:$G$294,3,FALSE),0)+IF('Biodiversity Assessment'!$Z$103&gt;0,'Biodiversity Assessment'!$Z$103*VLOOKUP('ESVD - Social Value of Bio'!F31&amp;"2",'ESVD - SUMMARY TABLE'!$E$2:$G$294,3,FALSE),0)+IF('Biodiversity Assessment'!$Z$104&gt;0,'Biodiversity Assessment'!$Z$104*VLOOKUP('ESVD - Social Value of Bio'!F31&amp;"3",'ESVD - SUMMARY TABLE'!$E$2:$G$294,3,FALSE),0)+IF('Biodiversity Assessment'!$Z$105&gt;0,'Biodiversity Assessment'!$Z$105*VLOOKUP('ESVD - Social Value of Bio'!F31&amp;"4",'ESVD - SUMMARY TABLE'!$E$2:$G$294,3,FALSE),0),IF(E31='ESVD - Land Use &amp; Climate Match'!$A$32,IF('Biodiversity Assessment'!$BD$102&gt;0,'Biodiversity Assessment'!$BD$102*VLOOKUP('ESVD - Social Value of Bio'!F31&amp;"1",'ESVD - SUMMARY TABLE'!$E$2:$G$294,3,FALSE),0)+IF('Biodiversity Assessment'!$BD$103&gt;0,'Biodiversity Assessment'!$BD$103*VLOOKUP('ESVD - Social Value of Bio'!F31&amp;"2",'ESVD - SUMMARY TABLE'!$E$2:$G$294,3,FALSE),0)+IF('Biodiversity Assessment'!$BD$104&gt;0,'Biodiversity Assessment'!$BD$104*VLOOKUP('ESVD - Social Value of Bio'!F31&amp;"3",'ESVD - SUMMARY TABLE'!$E$2:$G$294,3,FALSE),0)+IF('Biodiversity Assessment'!$BD$105&gt;0,'Biodiversity Assessment'!$BD$105*VLOOKUP('ESVD - Social Value of Bio'!F31&amp;"4",'ESVD - SUMMARY TABLE'!$E$2:$G$294,3,FALSE),0)+IF('Biodiversity Assessment'!$BD$106&gt;0,'Biodiversity Assessment'!$BD$106*VLOOKUP('ESVD - Social Value of Bio'!F31&amp;"5",'ESVD - SUMMARY TABLE'!$E$2:$G$294,3,FALSE),0),AVERAGE(IF('Biodiversity Assessment'!$J$102&gt;0,'Biodiversity Assessment'!$J$102*VLOOKUP(CONCATENATE($B31,$C31,'ESVD - Land Use &amp; Climate Match'!$A$1)&amp;"1",'ESVD - SUMMARY TABLE'!$E$2:$G$294,3,),0)+IF('Biodiversity Assessment'!$J$103&gt;0,'Biodiversity Assessment'!$J$103*VLOOKUP(CONCATENATE($B31,$C31,'ESVD - Land Use &amp; Climate Match'!$A$1)&amp;"2",'ESVD - SUMMARY TABLE'!$E$2:$G$294,3,),0)+IF('Biodiversity Assessment'!$J$104&gt;0,'Biodiversity Assessment'!$J$104*VLOOKUP(CONCATENATE($B31,$C31,'ESVD - Land Use &amp; Climate Match'!$A$1)&amp;"3",'ESVD - SUMMARY TABLE'!$E$2:$G$294,3,),0)+IF('Biodiversity Assessment'!$J$105&gt;0,'Biodiversity Assessment'!$J$105*VLOOKUP(CONCATENATE($B31,$C31,'ESVD - Land Use &amp; Climate Match'!$A$1)&amp;"4",'ESVD - SUMMARY TABLE'!$E$2:$G$294,3,),0),IF('Biodiversity Assessment'!$Z$102&gt;0,'Biodiversity Assessment'!$Z$102*VLOOKUP(CONCATENATE($B31,$C31,'ESVD - Land Use &amp; Climate Match'!$A$11)&amp;"1",'ESVD - SUMMARY TABLE'!$E$2:$G$294,3,FALSE),0)+IF('Biodiversity Assessment'!$Z$103&gt;0,'Biodiversity Assessment'!$Z$103*VLOOKUP(CONCATENATE($B31,$C31,'ESVD - Land Use &amp; Climate Match'!$A$11)&amp;"2",'ESVD - SUMMARY TABLE'!$E$2:$G$294,3,FALSE),0)+IF('Biodiversity Assessment'!$Z$104&gt;0,'Biodiversity Assessment'!$Z$104*VLOOKUP(CONCATENATE($B31,$C31,'ESVD - Land Use &amp; Climate Match'!$A$11)&amp;"3",'ESVD - SUMMARY TABLE'!$E$2:$G$294,3,FALSE),0)+IF('Biodiversity Assessment'!$Z$105&gt;0,'Biodiversity Assessment'!$Z$105*VLOOKUP(CONCATENATE($B31,$C31,'ESVD - Land Use &amp; Climate Match'!$A$11)&amp;"4",'ESVD - SUMMARY TABLE'!$E$2:$G$294,3,FALSE),0),IF('Biodiversity Assessment'!$BD$102&gt;0,'Biodiversity Assessment'!$BD$102*VLOOKUP(CONCATENATE($B31,$C31,'ESVD - Land Use &amp; Climate Match'!$A$32)&amp;"1",'ESVD - SUMMARY TABLE'!$E$2:$G$294,3,FALSE),0)+IF('Biodiversity Assessment'!$BD$103&gt;0,'Biodiversity Assessment'!$BD$103*VLOOKUP(CONCATENATE($B31,$C31,'ESVD - Land Use &amp; Climate Match'!$A$32)&amp;"2",'ESVD - SUMMARY TABLE'!$E$2:$G$294,3,FALSE),0)+IF('Biodiversity Assessment'!$BD$104&gt;0,'Biodiversity Assessment'!$BD$104*VLOOKUP(CONCATENATE($B31,$C31,'ESVD - Land Use &amp; Climate Match'!$A$32)&amp;"3",'ESVD - SUMMARY TABLE'!$E$2:$G$294,3,FALSE),0)+IF('Biodiversity Assessment'!$BD$105&gt;0,'Biodiversity Assessment'!$BD$105*VLOOKUP(CONCATENATE($B31,$C31,'ESVD - Land Use &amp; Climate Match'!$A$32)&amp;"4",'ESVD - SUMMARY TABLE'!$E$2:$G$294,3,FALSE),0)+IF('Biodiversity Assessment'!$BD$106&gt;0,'Biodiversity Assessment'!$BD$106*VLOOKUP(CONCATENATE($B31,$C31,'ESVD - Land Use &amp; Climate Match'!$A$32)&amp;"5",'ESVD - SUMMARY TABLE'!$E$2:$G$294,3,FALSE)))))),0)</f>
        <v>0</v>
      </c>
      <c r="H31" s="122">
        <f>IFERROR(IF(E31='ESVD - Land Use &amp; Climate Match'!$A$1,IF(SUM('Biodiversity Assessment'!$O$102:$P$105)=SUM('Biodiversity Assessment'!$J$102:$M$105),IF('Biodiversity Assessment'!$O$102&gt;0,'Biodiversity Assessment'!$O$102*VLOOKUP('ESVD - Social Value of Bio'!F31&amp;"1",'ESVD - SUMMARY TABLE'!$E$2:$G$294,3,),0)+IF('Biodiversity Assessment'!$O$103&gt;0,'Biodiversity Assessment'!$O$103*VLOOKUP('ESVD - Social Value of Bio'!F31&amp;"2",'ESVD - SUMMARY TABLE'!$E$2:$G$294,3,),0)+IF('Biodiversity Assessment'!$O$104&gt;0,'Biodiversity Assessment'!$O$104*VLOOKUP('ESVD - Social Value of Bio'!F31&amp;"3",'ESVD - SUMMARY TABLE'!$E$2:$G$294,3,),0)+IF('Biodiversity Assessment'!$O$105&gt;0,'Biodiversity Assessment'!$O$105*VLOOKUP('ESVD - Social Value of Bio'!F31&amp;"4",'ESVD - SUMMARY TABLE'!$E$2:$G$294,3,),0),0),IF(E31='ESVD - Land Use &amp; Climate Match'!$A$11,IF(SUM('Biodiversity Assessment'!$AH$102:$AN$105)=SUM('Biodiversity Assessment'!$Z$102:$AF$105),IF('Biodiversity Assessment'!$AH$102&gt;0,'Biodiversity Assessment'!$AH$102*VLOOKUP('ESVD - Social Value of Bio'!F31&amp;"1",'ESVD - SUMMARY TABLE'!$E$2:$G$294,3,FALSE),0)+IF('Biodiversity Assessment'!$AH$103&gt;0,'Biodiversity Assessment'!$AH$103*VLOOKUP('ESVD - Social Value of Bio'!F31&amp;"2",'ESVD - SUMMARY TABLE'!$E$2:$G$294,3,FALSE),0)+IF('Biodiversity Assessment'!$AH$104&gt;0,'Biodiversity Assessment'!$AH$104*VLOOKUP('ESVD - Social Value of Bio'!F31&amp;"3",'ESVD - SUMMARY TABLE'!$E$2:$G$294,3,FALSE),0)+IF('Biodiversity Assessment'!$AH$105&gt;0,'Biodiversity Assessment'!$AH$105*VLOOKUP('ESVD - Social Value of Bio'!F31&amp;"4",'ESVD - SUMMARY TABLE'!$E$2:$G$294,3,FALSE),0),0),IF(E31='ESVD - Land Use &amp; Climate Match'!$A$32,IF(SUM('Biodiversity Assessment'!$BF$102:$BF$106)=SUM('Biodiversity Assessment'!$BD$102:$BD$106),IF('Biodiversity Assessment'!$BF$102&gt;0,'Biodiversity Assessment'!$BF$102*VLOOKUP('ESVD - Social Value of Bio'!F31&amp;"1",'ESVD - SUMMARY TABLE'!$E$2:$G$294,3,FALSE),0)+IF('Biodiversity Assessment'!$BF$103&gt;0,'Biodiversity Assessment'!$BF$103*VLOOKUP('ESVD - Social Value of Bio'!F31&amp;"2",'ESVD - SUMMARY TABLE'!$E$2:$G$294,3,FALSE),0)+IF('Biodiversity Assessment'!$BF$104&gt;0,'Biodiversity Assessment'!$BF$104*VLOOKUP('ESVD - Social Value of Bio'!F31&amp;"3",'ESVD - SUMMARY TABLE'!$E$2:$G$294,3,FALSE),0)+IF('Biodiversity Assessment'!$BF$105&gt;0,'Biodiversity Assessment'!$BF$105*VLOOKUP('ESVD - Social Value of Bio'!F31&amp;"4",'ESVD - SUMMARY TABLE'!$E$2:$G$294,3,FALSE),0)+IF('Biodiversity Assessment'!$BF$106&gt;0,'Biodiversity Assessment'!$BF$106*VLOOKUP('ESVD - Social Value of Bio'!F31&amp;"5",'ESVD - SUMMARY TABLE'!$E$2:$G$294,3,FALSE),0),0),AVERAGE(IF(SUM('Biodiversity Assessment'!$O$102:$P$105)=SUM('Biodiversity Assessment'!$J$102:$M$105),IF('Biodiversity Assessment'!$O$102&gt;0,'Biodiversity Assessment'!$O$102*VLOOKUP(CONCATENATE($B31,$C31,'ESVD - Land Use &amp; Climate Match'!$A$1)&amp;"1",'ESVD - SUMMARY TABLE'!$E$2:$G$294,3,),0)+IF('Biodiversity Assessment'!$O$103&gt;0,'Biodiversity Assessment'!$O$103*VLOOKUP(CONCATENATE($B31,$C31,'ESVD - Land Use &amp; Climate Match'!$A$1)&amp;"2",'ESVD - SUMMARY TABLE'!$E$2:$G$294,3,),0)+IF('Biodiversity Assessment'!$O$104&gt;0,'Biodiversity Assessment'!$O$104*VLOOKUP(CONCATENATE($B31,$C31,'ESVD - Land Use &amp; Climate Match'!$A$1)&amp;"3",'ESVD - SUMMARY TABLE'!$E$2:$G$294,3,),0)+IF('Biodiversity Assessment'!$O$105&gt;0,'Biodiversity Assessment'!$O$105*VLOOKUP(CONCATENATE($B31,$C31,'ESVD - Land Use &amp; Climate Match'!$A$1)&amp;"4",'ESVD - SUMMARY TABLE'!$E$2:$G$294,3,),0),0),IF(SUM('Biodiversity Assessment'!$AH$102:$AN$105)=SUM('Biodiversity Assessment'!$Z$102:$AF$105),IF('Biodiversity Assessment'!$AH$102&gt;0,'Biodiversity Assessment'!$AH$102*VLOOKUP(CONCATENATE($B31,$C31,'ESVD - Land Use &amp; Climate Match'!$A$11)&amp;"1",'ESVD - SUMMARY TABLE'!$E$2:$G$294,3,FALSE),0)+IF('Biodiversity Assessment'!$AH$103&gt;0,'Biodiversity Assessment'!$AH$103*VLOOKUP(CONCATENATE($B31,$C31,'ESVD - Land Use &amp; Climate Match'!$A$11)&amp;"2",'ESVD - SUMMARY TABLE'!$E$2:$G$294,3,FALSE),0)+IF('Biodiversity Assessment'!$AH$104&gt;0,'Biodiversity Assessment'!$AH$104*VLOOKUP(CONCATENATE($B31,$C31,'ESVD - Land Use &amp; Climate Match'!$A$11)&amp;"3",'ESVD - SUMMARY TABLE'!$E$2:$G$294,3,FALSE),0)+IF('Biodiversity Assessment'!$AH$105&gt;0,'Biodiversity Assessment'!$AH$105*VLOOKUP(CONCATENATE($B31,$C31,'ESVD - Land Use &amp; Climate Match'!$A$11)&amp;"4",'ESVD - SUMMARY TABLE'!$E$2:$G$294,3,FALSE),0),0),IF(SUM('Biodiversity Assessment'!$BF$102:$BF$106)=SUM('Biodiversity Assessment'!$BD$102:$BD$106),IF('Biodiversity Assessment'!$BF$102&gt;0,'Biodiversity Assessment'!$BF$102*VLOOKUP(CONCATENATE($B31,$C31,'ESVD - Land Use &amp; Climate Match'!$A$32)&amp;"1",'ESVD - SUMMARY TABLE'!$E$2:$G$294,3,FALSE),0)+IF('Biodiversity Assessment'!$BF$103&gt;0,'Biodiversity Assessment'!$BF$103*VLOOKUP(CONCATENATE($B31,$C31,'ESVD - Land Use &amp; Climate Match'!$A$32)&amp;"2",'ESVD - SUMMARY TABLE'!$E$2:$G$294,3,FALSE),0)+IF('Biodiversity Assessment'!$BF$104&gt;0,'Biodiversity Assessment'!$BF$104*VLOOKUP(CONCATENATE($B31,$C31,'ESVD - Land Use &amp; Climate Match'!$A$32)&amp;"3",'ESVD - SUMMARY TABLE'!$E$2:$G$294,3,FALSE),0)+IF('Biodiversity Assessment'!$BF$105&gt;0,'Biodiversity Assessment'!$BF$105*VLOOKUP(CONCATENATE($B31,$C31,'ESVD - Land Use &amp; Climate Match'!$A$32)&amp;"4",'ESVD - SUMMARY TABLE'!$E$2:$G$294,3,FALSE),0)+IF('Biodiversity Assessment'!$BF$106&gt;0,'Biodiversity Assessment'!$BF$106*VLOOKUP(CONCATENATE($B31,$C31,'ESVD - Land Use &amp; Climate Match'!$A$32)&amp;"5",'ESVD - SUMMARY TABLE'!$E$2:$G$294,3,FALSE),0),0))))),0)</f>
        <v>0</v>
      </c>
      <c r="I31" s="122">
        <f>'Biodiversity Assessment'!CR46</f>
        <v>0</v>
      </c>
      <c r="J31" s="122">
        <f>IFERROR(IF(I31&gt;0,I31*'Biodiversity Assessment'!$M46,IF(H31&gt;0,H31*'Biodiversity Assessment'!$M46,G31*'Biodiversity Assessment'!$M46)),0)</f>
        <v>0</v>
      </c>
      <c r="K31" s="454"/>
      <c r="L31" s="123">
        <f>IFERROR(IF(E31='ESVD - Land Use &amp; Climate Match'!$A$1,IF('Biodiversity Assessment'!$J$102&gt;0,'Biodiversity Assessment'!$J$102*VLOOKUP('ESVD - Social Value of Bio'!F31&amp;"1",'ESVD - SUMMARY TABLE'!$E$2:$G$294,3,),0)+IF('Biodiversity Assessment'!$J$103&gt;0,'Biodiversity Assessment'!$J$103*VLOOKUP('ESVD - Social Value of Bio'!F31&amp;"2",'ESVD - SUMMARY TABLE'!$E$2:$G$294,3,),0)+IF('Biodiversity Assessment'!$J$104&gt;0,'Biodiversity Assessment'!$J$104*VLOOKUP('ESVD - Social Value of Bio'!F31&amp;"3",'ESVD - SUMMARY TABLE'!$E$2:$G$294,3,),0)+IF('Biodiversity Assessment'!$J$105&gt;0,'Biodiversity Assessment'!$J$105*VLOOKUP('ESVD - Social Value of Bio'!F31&amp;"4",'ESVD - SUMMARY TABLE'!$E$2:$G$294,3,),0),IF(E31='ESVD - Land Use &amp; Climate Match'!$A$11,IF('Biodiversity Assessment'!$Z$102&gt;0,'Biodiversity Assessment'!$Z$102*VLOOKUP('ESVD - Social Value of Bio'!F31&amp;"1",'ESVD - SUMMARY TABLE'!$E$2:$G$294,3,FALSE),0)+IF('Biodiversity Assessment'!$Z$103&gt;0,'Biodiversity Assessment'!$Z$103*VLOOKUP('ESVD - Social Value of Bio'!F31&amp;"2",'ESVD - SUMMARY TABLE'!$E$2:$G$294,3,FALSE),0)+IF('Biodiversity Assessment'!$Z$104&gt;0,'Biodiversity Assessment'!$Z$104*VLOOKUP('ESVD - Social Value of Bio'!F31&amp;"3",'ESVD - SUMMARY TABLE'!$E$2:$G$294,3,FALSE),0)+IF('Biodiversity Assessment'!$Z$105&gt;0,'Biodiversity Assessment'!$Z$105*VLOOKUP('ESVD - Social Value of Bio'!F31&amp;"4",'ESVD - SUMMARY TABLE'!$E$2:$G$294,3,FALSE),0),IF(E31='ESVD - Land Use &amp; Climate Match'!$A$32,IF('Biodiversity Assessment'!$BD$102&gt;0,'Biodiversity Assessment'!$BD$102*VLOOKUP('ESVD - Social Value of Bio'!F31&amp;"1",'ESVD - SUMMARY TABLE'!$E$2:$G$294,3,FALSE),0)+IF('Biodiversity Assessment'!$BD$103&gt;0,'Biodiversity Assessment'!$BD$103*VLOOKUP('ESVD - Social Value of Bio'!F31&amp;"2",'ESVD - SUMMARY TABLE'!$E$2:$G$294,3,FALSE),0)+IF('Biodiversity Assessment'!$BD$104&gt;0,'Biodiversity Assessment'!$BD$104*VLOOKUP('ESVD - Social Value of Bio'!F31&amp;"3",'ESVD - SUMMARY TABLE'!$E$2:$G$294,3,FALSE),0)+IF('Biodiversity Assessment'!$BD$105&gt;0,'Biodiversity Assessment'!$BD$105*VLOOKUP('ESVD - Social Value of Bio'!F31&amp;"4",'ESVD - SUMMARY TABLE'!$E$2:$G$294,3,FALSE),0)+IF('Biodiversity Assessment'!$BD$106&gt;0,'Biodiversity Assessment'!$BD$106*VLOOKUP('ESVD - Social Value of Bio'!F31&amp;"5",'ESVD - SUMMARY TABLE'!$E$2:$G$294,3,FALSE),0),VLOOKUP('ESVD - Social Value of Bio'!F31&amp;"1",'ESVD - SUMMARY TABLE'!$E$2:$G$294,3,FALSE)))),0)</f>
        <v>0</v>
      </c>
      <c r="M31" s="123">
        <f>IFERROR(IF(E31='ESVD - Land Use &amp; Climate Match'!$A$1,IF(SUM('Biodiversity Assessment'!$O$102:$P$105)=SUM('Biodiversity Assessment'!$J$102:$M$105),IF('Biodiversity Assessment'!$O$102&gt;0,'Biodiversity Assessment'!$O$102*VLOOKUP('ESVD - Social Value of Bio'!F31&amp;"1",'ESVD - SUMMARY TABLE'!$E$2:$G$294,3,),0)+IF('Biodiversity Assessment'!$O$103&gt;0,'Biodiversity Assessment'!$O$103*VLOOKUP('ESVD - Social Value of Bio'!F31&amp;"2",'ESVD - SUMMARY TABLE'!$E$2:$G$294,3,),0)+IF('Biodiversity Assessment'!$O$104&gt;0,'Biodiversity Assessment'!$O$104*VLOOKUP('ESVD - Social Value of Bio'!F31&amp;"3",'ESVD - SUMMARY TABLE'!$E$2:$G$294,3,),0)+IF('Biodiversity Assessment'!$O$105&gt;0,'Biodiversity Assessment'!$O$105*VLOOKUP('ESVD - Social Value of Bio'!F31&amp;"4",'ESVD - SUMMARY TABLE'!$E$2:$G$294,3,),0),0),IF(E31='ESVD - Land Use &amp; Climate Match'!$A$11,IF(SUM('Biodiversity Assessment'!$AH$102:$AN$105)=SUM('Biodiversity Assessment'!$Z$102:$AF$105),IF('Biodiversity Assessment'!$AH$102&gt;0,'Biodiversity Assessment'!$AH$102*VLOOKUP('ESVD - Social Value of Bio'!F31&amp;"1",'ESVD - SUMMARY TABLE'!$E$2:$G$294,3,FALSE),0)+IF('Biodiversity Assessment'!$AH$103&gt;0,'Biodiversity Assessment'!$AH$103*VLOOKUP('ESVD - Social Value of Bio'!F31&amp;"2",'ESVD - SUMMARY TABLE'!$E$2:$G$294,3,FALSE),0)+IF('Biodiversity Assessment'!$AH$104&gt;0,'Biodiversity Assessment'!$AH$104*VLOOKUP('ESVD - Social Value of Bio'!F31&amp;"3",'ESVD - SUMMARY TABLE'!$E$2:$G$294,3,FALSE),0)+IF('Biodiversity Assessment'!$AH$105&gt;0,'Biodiversity Assessment'!$AH$105*VLOOKUP('ESVD - Social Value of Bio'!F31&amp;"4",'ESVD - SUMMARY TABLE'!$E$2:$G$294,3,FALSE),0),0),IF(E31='ESVD - Land Use &amp; Climate Match'!$A$32,IF(SUM('Biodiversity Assessment'!$BF$102:$BF$106)=SUM('Biodiversity Assessment'!$BD$102:$BD$106),IF('Biodiversity Assessment'!$BF$102&gt;0,'Biodiversity Assessment'!$BF$102*VLOOKUP('ESVD - Social Value of Bio'!F31&amp;"1",'ESVD - SUMMARY TABLE'!$E$2:$G$294,3,FALSE),0)+IF('Biodiversity Assessment'!$BF$103&gt;0,'Biodiversity Assessment'!$BF$103*VLOOKUP('ESVD - Social Value of Bio'!F31&amp;"2",'ESVD - SUMMARY TABLE'!$E$2:$G$294,3,FALSE),0)+IF('Biodiversity Assessment'!$BF$104&gt;0,'Biodiversity Assessment'!$BF$104*VLOOKUP('ESVD - Social Value of Bio'!F31&amp;"3",'ESVD - SUMMARY TABLE'!$E$2:$G$294,3,FALSE),0)+IF('Biodiversity Assessment'!$BF$105&gt;0,'Biodiversity Assessment'!$BF$105*VLOOKUP('ESVD - Social Value of Bio'!F31&amp;"4",'ESVD - SUMMARY TABLE'!$E$2:$G$294,3,FALSE),0)+IF('Biodiversity Assessment'!$BF$106&gt;0,'Biodiversity Assessment'!$BF$106*VLOOKUP('ESVD - Social Value of Bio'!F31&amp;"5",'ESVD - SUMMARY TABLE'!$E$2:$G$294,3,FALSE),0),0),VLOOKUP('ESVD - Social Value of Bio'!F31&amp;"1",'ESVD - SUMMARY TABLE'!$E$2:$G$294,3,FALSE)))),0)</f>
        <v>0</v>
      </c>
      <c r="N31" s="123">
        <f>'Biodiversity Assessment'!CR46</f>
        <v>0</v>
      </c>
      <c r="O31" s="124">
        <f>IFERROR(IF(N31&gt;0,N31*'Biodiversity Assessment'!M46,IF(M31&gt;0,M31*'Biodiversity Assessment'!M46,L31*'Biodiversity Assessment'!M46)),0)</f>
        <v>0</v>
      </c>
      <c r="P31" s="456"/>
      <c r="R31" s="108" t="str">
        <f>'Biodiversity Assessment'!O46</f>
        <v>Select land use</v>
      </c>
      <c r="S31" s="109" t="str">
        <f>IF(OR(R31=Data!$E$4,R31=Data!$E$5,R31=Data!$E$6,R31=Data!$E$7),Data!$E$4,IF(OR(R31=Data!$E$9,R31=Data!$E$10,R31=Data!$E$11),Data!$E$9,IF(OR(R31=Data!$E$12,R31=Data!$E$13,R31=Data!$E$14),"Cropland",IF(OR(R31=Data!$E$16,R31=Data!$E$17),"Agroforestry",R31))))</f>
        <v>Select land use</v>
      </c>
      <c r="T31" s="109" t="str">
        <f t="shared" si="1"/>
        <v>Please selectPlease selectSelect land use</v>
      </c>
      <c r="U31" s="122">
        <f>IFERROR(IF(S31='ESVD - Land Use &amp; Climate Match'!$A$1,IF('Biodiversity Assessment'!$J$102&gt;0,'Biodiversity Assessment'!$J$102*VLOOKUP('ESVD - Social Value of Bio'!T31&amp;"1",'ESVD - SUMMARY TABLE'!$E$2:$G$294,3,),0)+IF('Biodiversity Assessment'!$J$103&gt;0,'Biodiversity Assessment'!$J$103*VLOOKUP('ESVD - Social Value of Bio'!T31&amp;"2",'ESVD - SUMMARY TABLE'!$E$2:$G$294,3,),0)+IF('Biodiversity Assessment'!$J$104&gt;0,'Biodiversity Assessment'!$J$104*VLOOKUP('ESVD - Social Value of Bio'!T31&amp;"3",'ESVD - SUMMARY TABLE'!$E$2:$G$294,3,),0)+IF('Biodiversity Assessment'!$J$105&gt;0,'Biodiversity Assessment'!$J$105*VLOOKUP('ESVD - Social Value of Bio'!T31&amp;"4",'ESVD - SUMMARY TABLE'!$E$2:$G$294,3,),0),IF(S31='ESVD - Land Use &amp; Climate Match'!$A$11,IF('Biodiversity Assessment'!$Z$102&gt;0,'Biodiversity Assessment'!$Z$102*VLOOKUP('ESVD - Social Value of Bio'!T31&amp;"1",'ESVD - SUMMARY TABLE'!$E$2:$G$294,3,FALSE),0)+IF('Biodiversity Assessment'!$Z$103&gt;0,'Biodiversity Assessment'!$Z$103*VLOOKUP('ESVD - Social Value of Bio'!T31&amp;"2",'ESVD - SUMMARY TABLE'!$E$2:$G$294,3,FALSE),0)+IF('Biodiversity Assessment'!$Z$104&gt;0,'Biodiversity Assessment'!$Z$104*VLOOKUP('ESVD - Social Value of Bio'!T31&amp;"3",'ESVD - SUMMARY TABLE'!$E$2:$G$294,3,FALSE),0)+IF('Biodiversity Assessment'!$Z$105&gt;0,'Biodiversity Assessment'!$Z$105*VLOOKUP('ESVD - Social Value of Bio'!T31&amp;"4",'ESVD - SUMMARY TABLE'!$E$2:$G$294,3,FALSE),0),IF(S31='ESVD - Land Use &amp; Climate Match'!$A$32,IF('Biodiversity Assessment'!$BD$102&gt;0,'Biodiversity Assessment'!$BD$102*VLOOKUP('ESVD - Social Value of Bio'!T31&amp;"1",'ESVD - SUMMARY TABLE'!$E$2:$G$294,3,FALSE),0)+IF('Biodiversity Assessment'!$BD$103&gt;0,'Biodiversity Assessment'!$BD$103*VLOOKUP('ESVD - Social Value of Bio'!T31&amp;"2",'ESVD - SUMMARY TABLE'!$E$2:$G$294,3,FALSE),0)+IF('Biodiversity Assessment'!$BD$104&gt;0,'Biodiversity Assessment'!$BD$104*VLOOKUP('ESVD - Social Value of Bio'!T31&amp;"3",'ESVD - SUMMARY TABLE'!$E$2:$G$294,3,FALSE),0)+IF('Biodiversity Assessment'!$BD$105&gt;0,'Biodiversity Assessment'!$BD$105*VLOOKUP('ESVD - Social Value of Bio'!T31&amp;"4",'ESVD - SUMMARY TABLE'!$E$2:$G$294,3,FALSE),0)+IF('Biodiversity Assessment'!$BD$106&gt;0,'Biodiversity Assessment'!$BD$106*VLOOKUP('ESVD - Social Value of Bio'!T31&amp;"5",'ESVD - SUMMARY TABLE'!$E$2:$G$294,3,FALSE),0),AVERAGE(IF('Biodiversity Assessment'!$J$102&gt;0,'Biodiversity Assessment'!$J$102*VLOOKUP(CONCATENATE(B31,C31,'ESVD - Land Use &amp; Climate Match'!$A$1)&amp;"1",'ESVD - SUMMARY TABLE'!$E$2:$G$294,3,),0)+IF('Biodiversity Assessment'!$J$103&gt;0,'Biodiversity Assessment'!$J$103*VLOOKUP(CONCATENATE(B31,C31,'ESVD - Land Use &amp; Climate Match'!$A$1)&amp;"2",'ESVD - SUMMARY TABLE'!$E$2:$G$294,3,),0)+IF('Biodiversity Assessment'!$J$104&gt;0,'Biodiversity Assessment'!$J$104*VLOOKUP(CONCATENATE(B31,C31,'ESVD - Land Use &amp; Climate Match'!$A$1)&amp;"3",'ESVD - SUMMARY TABLE'!$E$2:$G$294,3,),0)+IF('Biodiversity Assessment'!$J$105&gt;0,'Biodiversity Assessment'!$J$105*VLOOKUP(CONCATENATE(B31,C31,'ESVD - Land Use &amp; Climate Match'!$A$1)&amp;"4",'ESVD - SUMMARY TABLE'!$E$2:$G$294,3,),0),IF('Biodiversity Assessment'!$Z$102&gt;0,'Biodiversity Assessment'!$Z$102*VLOOKUP(CONCATENATE(B31,C31,'ESVD - Land Use &amp; Climate Match'!$A$11)&amp;"1",'ESVD - SUMMARY TABLE'!$E$2:$G$294,3,FALSE),0)+IF('Biodiversity Assessment'!$Z$103&gt;0,'Biodiversity Assessment'!$Z$103*VLOOKUP(CONCATENATE(B31,C31,'ESVD - Land Use &amp; Climate Match'!$A$11)&amp;"2",'ESVD - SUMMARY TABLE'!$E$2:$G$294,3,FALSE),0)+IF('Biodiversity Assessment'!$Z$104&gt;0,'Biodiversity Assessment'!$Z$104*VLOOKUP(CONCATENATE(B31,C31,'ESVD - Land Use &amp; Climate Match'!$A$11)&amp;"3",'ESVD - SUMMARY TABLE'!$E$2:$G$294,3,FALSE),0)+IF('Biodiversity Assessment'!$Z$105&gt;0,'Biodiversity Assessment'!$Z$105*VLOOKUP(CONCATENATE(B31,C31,'ESVD - Land Use &amp; Climate Match'!$A$11)&amp;"4",'ESVD - SUMMARY TABLE'!$E$2:$G$294,3,FALSE),0),IF('Biodiversity Assessment'!$BD$102&gt;0,'Biodiversity Assessment'!$BD$102*VLOOKUP(CONCATENATE(B31,C31,'ESVD - Land Use &amp; Climate Match'!$A$32)&amp;"1",'ESVD - SUMMARY TABLE'!$E$2:$G$294,3,FALSE),0)+IF('Biodiversity Assessment'!$BD$103&gt;0,'Biodiversity Assessment'!$BD$103*VLOOKUP(CONCATENATE(B31,C31,'ESVD - Land Use &amp; Climate Match'!$A$32)&amp;"2",'ESVD - SUMMARY TABLE'!$E$2:$G$294,3,FALSE),0)+IF('Biodiversity Assessment'!$BD$104&gt;0,'Biodiversity Assessment'!$BD$104*VLOOKUP(CONCATENATE(B31,C31,'ESVD - Land Use &amp; Climate Match'!$A$32)&amp;"3",'ESVD - SUMMARY TABLE'!$E$2:$G$294,3,FALSE),0)+IF('Biodiversity Assessment'!$BD$105&gt;0,'Biodiversity Assessment'!$BD$105*VLOOKUP(CONCATENATE(B31,C31,'ESVD - Land Use &amp; Climate Match'!$A$32)&amp;"4",'ESVD - SUMMARY TABLE'!$E$2:$G$294,3,FALSE),0)+IF('Biodiversity Assessment'!$BD$106&gt;0,'Biodiversity Assessment'!$BD$106*VLOOKUP(CONCATENATE(B31,C31,'ESVD - Land Use &amp; Climate Match'!$A$32)&amp;"5",'ESVD - SUMMARY TABLE'!$E$2:$G$294,3,FALSE)))))),0)</f>
        <v>0</v>
      </c>
      <c r="V31" s="122">
        <f>IFERROR(IF(S31='ESVD - Land Use &amp; Climate Match'!$A$1,IF(SUM('Biodiversity Assessment'!$O$102:$P$105)=SUM('Biodiversity Assessment'!$J$102:$M$105),IF('Biodiversity Assessment'!$O$102&gt;0,'Biodiversity Assessment'!$O$102*VLOOKUP('ESVD - Social Value of Bio'!T31&amp;"1",'ESVD - SUMMARY TABLE'!$E$2:$G$294,3,),0)+IF('Biodiversity Assessment'!$O$103&gt;0,'Biodiversity Assessment'!$O$103*VLOOKUP('ESVD - Social Value of Bio'!T31&amp;"2",'ESVD - SUMMARY TABLE'!$E$2:$G$294,3,),0)+IF('Biodiversity Assessment'!$O$104&gt;0,'Biodiversity Assessment'!$O$104*VLOOKUP('ESVD - Social Value of Bio'!T31&amp;"3",'ESVD - SUMMARY TABLE'!$E$2:$G$294,3,),0)+IF('Biodiversity Assessment'!$O$105&gt;0,'Biodiversity Assessment'!$O$105*VLOOKUP('ESVD - Social Value of Bio'!T31&amp;"4",'ESVD - SUMMARY TABLE'!$E$2:$G$294,3,),0),0),IF(S31='ESVD - Land Use &amp; Climate Match'!$A$11,IF(SUM('Biodiversity Assessment'!$AH$102:$AN$105)=SUM('Biodiversity Assessment'!$Z$102:$AF$105),IF('Biodiversity Assessment'!$AH$102&gt;0,'Biodiversity Assessment'!$AH$102*VLOOKUP('ESVD - Social Value of Bio'!T31&amp;"1",'ESVD - SUMMARY TABLE'!$E$2:$G$294,3,FALSE),0)+IF('Biodiversity Assessment'!$AH$103&gt;0,'Biodiversity Assessment'!$AH$103*VLOOKUP('ESVD - Social Value of Bio'!T31&amp;"2",'ESVD - SUMMARY TABLE'!$E$2:$G$294,3,FALSE),0)+IF('Biodiversity Assessment'!$AH$104&gt;0,'Biodiversity Assessment'!$AH$104*VLOOKUP('ESVD - Social Value of Bio'!T31&amp;"3",'ESVD - SUMMARY TABLE'!$E$2:$G$294,3,FALSE),0)+IF('Biodiversity Assessment'!$AH$105&gt;0,'Biodiversity Assessment'!$AH$105*VLOOKUP('ESVD - Social Value of Bio'!T31&amp;"4",'ESVD - SUMMARY TABLE'!$E$2:$G$294,3,FALSE),0),0),IF(S31='ESVD - Land Use &amp; Climate Match'!$A$32,IF(SUM('Biodiversity Assessment'!$BF$102:$BF$106)=SUM('Biodiversity Assessment'!$BD$102:$BD$106),IF('Biodiversity Assessment'!$BF$102&gt;0,'Biodiversity Assessment'!$BF$102*VLOOKUP('ESVD - Social Value of Bio'!T31&amp;"1",'ESVD - SUMMARY TABLE'!$E$2:$G$294,3,FALSE),0)+IF('Biodiversity Assessment'!$BF$103&gt;0,'Biodiversity Assessment'!$BF$103*VLOOKUP('ESVD - Social Value of Bio'!T31&amp;"2",'ESVD - SUMMARY TABLE'!$E$2:$G$294,3,FALSE),0)+IF('Biodiversity Assessment'!$BF$104&gt;0,'Biodiversity Assessment'!$BF$104*VLOOKUP('ESVD - Social Value of Bio'!T31&amp;"3",'ESVD - SUMMARY TABLE'!$E$2:$G$294,3,FALSE),0)+IF('Biodiversity Assessment'!$BF$105&gt;0,'Biodiversity Assessment'!$BF$105*VLOOKUP('ESVD - Social Value of Bio'!T31&amp;"4",'ESVD - SUMMARY TABLE'!$E$2:$G$294,3,FALSE),0)+IF('Biodiversity Assessment'!$BF$106&gt;0,'Biodiversity Assessment'!$BF$106*VLOOKUP('ESVD - Social Value of Bio'!T31&amp;"5",'ESVD - SUMMARY TABLE'!$E$2:$G$294,3,FALSE),0),0),AVERAGE(IF(SUM('Biodiversity Assessment'!$O$102:$P$105)=SUM('Biodiversity Assessment'!$J$102:$M$105),IF('Biodiversity Assessment'!$O$102&gt;0,'Biodiversity Assessment'!$O$102*VLOOKUP(CONCATENATE($B31,$C31,'ESVD - Land Use &amp; Climate Match'!$A$1)&amp;"1",'ESVD - SUMMARY TABLE'!$E$2:$G$294,3,),0)+IF('Biodiversity Assessment'!$O$103&gt;0,'Biodiversity Assessment'!$O$103*VLOOKUP(CONCATENATE($B31,$C31,'ESVD - Land Use &amp; Climate Match'!$A$1)&amp;"2",'ESVD - SUMMARY TABLE'!$E$2:$G$294,3,),0)+IF('Biodiversity Assessment'!$O$104&gt;0,'Biodiversity Assessment'!$O$104*VLOOKUP(CONCATENATE($B31,$C31,'ESVD - Land Use &amp; Climate Match'!$A$1)&amp;"3",'ESVD - SUMMARY TABLE'!$E$2:$G$294,3,),0)+IF('Biodiversity Assessment'!$O$105&gt;0,'Biodiversity Assessment'!$O$105*VLOOKUP(CONCATENATE($B31,$C31,'ESVD - Land Use &amp; Climate Match'!$A$1)&amp;"4",'ESVD - SUMMARY TABLE'!$E$2:$G$294,3,),0),0),IF(SUM('Biodiversity Assessment'!$AH$102:$AN$105)=SUM('Biodiversity Assessment'!$Z$102:$AF$105),IF('Biodiversity Assessment'!$AH$102&gt;0,'Biodiversity Assessment'!$AH$102*VLOOKUP(CONCATENATE($B31,$C31,'ESVD - Land Use &amp; Climate Match'!$A$11)&amp;"1",'ESVD - SUMMARY TABLE'!$E$2:$G$294,3,FALSE),0)+IF('Biodiversity Assessment'!$AH$103&gt;0,'Biodiversity Assessment'!$AH$103*VLOOKUP(CONCATENATE($B31,$C31,'ESVD - Land Use &amp; Climate Match'!$A$11)&amp;"2",'ESVD - SUMMARY TABLE'!$E$2:$G$294,3,FALSE),0)+IF('Biodiversity Assessment'!$AH$104&gt;0,'Biodiversity Assessment'!$AH$104*VLOOKUP(CONCATENATE($B31,$C31,'ESVD - Land Use &amp; Climate Match'!$A$11)&amp;"3",'ESVD - SUMMARY TABLE'!$E$2:$G$294,3,FALSE),0)+IF('Biodiversity Assessment'!$AH$105&gt;0,'Biodiversity Assessment'!$AH$105*VLOOKUP(CONCATENATE($B31,$C31,'ESVD - Land Use &amp; Climate Match'!$A$11)&amp;"4",'ESVD - SUMMARY TABLE'!$E$2:$G$294,3,FALSE),0),0),IF(SUM('Biodiversity Assessment'!$BF$102:$BF$106)=SUM('Biodiversity Assessment'!$BD$102:$BD$106),IF('Biodiversity Assessment'!$BF$102&gt;0,'Biodiversity Assessment'!$BF$102*VLOOKUP(CONCATENATE($B31,$C31,'ESVD - Land Use &amp; Climate Match'!$A$32)&amp;"1",'ESVD - SUMMARY TABLE'!$E$2:$G$294,3,FALSE),0)+IF('Biodiversity Assessment'!$BF$103&gt;0,'Biodiversity Assessment'!$BF$103*VLOOKUP(CONCATENATE($B31,$C31,'ESVD - Land Use &amp; Climate Match'!$A$32)&amp;"2",'ESVD - SUMMARY TABLE'!$E$2:$G$294,3,FALSE),0)+IF('Biodiversity Assessment'!$BF$104&gt;0,'Biodiversity Assessment'!$BF$104*VLOOKUP(CONCATENATE($B31,$C31,'ESVD - Land Use &amp; Climate Match'!$A$32)&amp;"3",'ESVD - SUMMARY TABLE'!$E$2:$G$294,3,FALSE),0)+IF('Biodiversity Assessment'!$BF$105&gt;0,'Biodiversity Assessment'!$BF$105*VLOOKUP(CONCATENATE($B31,$C31,'ESVD - Land Use &amp; Climate Match'!$A$32)&amp;"4",'ESVD - SUMMARY TABLE'!$E$2:$G$294,3,FALSE),0)+IF('Biodiversity Assessment'!$BF$106&gt;0,'Biodiversity Assessment'!$BF$106*VLOOKUP(CONCATENATE($B31,$C31,'ESVD - Land Use &amp; Climate Match'!$A$32)&amp;"5",'ESVD - SUMMARY TABLE'!$E$2:$G$294,3,FALSE),0),0))))),0)</f>
        <v>0</v>
      </c>
      <c r="W31" s="122">
        <f>'Biodiversity Assessment'!CX46</f>
        <v>0</v>
      </c>
      <c r="X31" s="122">
        <f>IFERROR(IF(W31&gt;0,W31*'Biodiversity Assessment'!$U46,IF(V31&gt;0,V31*'Biodiversity Assessment'!$U46,U31*'Biodiversity Assessment'!$U46)),0)</f>
        <v>0</v>
      </c>
      <c r="Y31" s="454"/>
      <c r="Z31" s="123">
        <f>IFERROR(IF(S31='ESVD - Land Use &amp; Climate Match'!$A$1,IF('Biodiversity Assessment'!$J$102&gt;0,'Biodiversity Assessment'!$J$102*VLOOKUP('ESVD - Social Value of Bio'!T31&amp;"1",'ESVD - SUMMARY TABLE'!$E$2:$G$294,3,),0)+IF('Biodiversity Assessment'!$J$103&gt;0,'Biodiversity Assessment'!$J$103*VLOOKUP('ESVD - Social Value of Bio'!T31&amp;"2",'ESVD - SUMMARY TABLE'!$E$2:$G$294,3,),0)+IF('Biodiversity Assessment'!$J$104&gt;0,'Biodiversity Assessment'!$J$104*VLOOKUP('ESVD - Social Value of Bio'!T31&amp;"3",'ESVD - SUMMARY TABLE'!$E$2:$G$294,3,),0)+IF('Biodiversity Assessment'!$J$105&gt;0,'Biodiversity Assessment'!$J$105*VLOOKUP('ESVD - Social Value of Bio'!T31&amp;"4",'ESVD - SUMMARY TABLE'!$E$2:$G$294,3,),0),IF(S31='ESVD - Land Use &amp; Climate Match'!$A$11,IF('Biodiversity Assessment'!$Z$102&gt;0,'Biodiversity Assessment'!$Z$102*VLOOKUP('ESVD - Social Value of Bio'!T31&amp;"1",'ESVD - SUMMARY TABLE'!$E$2:$G$294,3,FALSE),0)+IF('Biodiversity Assessment'!$Z$103&gt;0,'Biodiversity Assessment'!$Z$103*VLOOKUP('ESVD - Social Value of Bio'!T31&amp;"2",'ESVD - SUMMARY TABLE'!$E$2:$G$294,3,FALSE),0)+IF('Biodiversity Assessment'!$Z$104&gt;0,'Biodiversity Assessment'!$Z$104*VLOOKUP('ESVD - Social Value of Bio'!T31&amp;"3",'ESVD - SUMMARY TABLE'!$E$2:$G$294,3,FALSE),0)+IF('Biodiversity Assessment'!$Z$105&gt;0,'Biodiversity Assessment'!$Z$105*VLOOKUP('ESVD - Social Value of Bio'!T31&amp;"4",'ESVD - SUMMARY TABLE'!$E$2:$G$294,3,FALSE),0),IF(S31='ESVD - Land Use &amp; Climate Match'!$A$32,IF('Biodiversity Assessment'!$BD$102&gt;0,'Biodiversity Assessment'!$BD$102*VLOOKUP('ESVD - Social Value of Bio'!T31&amp;"1",'ESVD - SUMMARY TABLE'!$E$2:$G$294,3,FALSE),0)+IF('Biodiversity Assessment'!$BD$103&gt;0,'Biodiversity Assessment'!$BD$103*VLOOKUP('ESVD - Social Value of Bio'!T31&amp;"2",'ESVD - SUMMARY TABLE'!$E$2:$G$294,3,FALSE),0)+IF('Biodiversity Assessment'!$BD$104&gt;0,'Biodiversity Assessment'!$BD$104*VLOOKUP('ESVD - Social Value of Bio'!T31&amp;"3",'ESVD - SUMMARY TABLE'!$E$2:$G$294,3,FALSE),0)+IF('Biodiversity Assessment'!$BD$105&gt;0,'Biodiversity Assessment'!$BD$105*VLOOKUP('ESVD - Social Value of Bio'!T31&amp;"4",'ESVD - SUMMARY TABLE'!$E$2:$G$294,3,FALSE),0)+IF('Biodiversity Assessment'!$BD$106&gt;0,'Biodiversity Assessment'!$BD$106*VLOOKUP('ESVD - Social Value of Bio'!T31&amp;"5",'ESVD - SUMMARY TABLE'!$E$2:$G$294,3,FALSE),0),VLOOKUP('ESVD - Social Value of Bio'!T31&amp;"1",'ESVD - SUMMARY TABLE'!$E$2:$G$294,3,FALSE)))),0)</f>
        <v>0</v>
      </c>
      <c r="AA31" s="123">
        <f>IFERROR(IF(S31='ESVD - Land Use &amp; Climate Match'!$A$1,IF(SUM('Biodiversity Assessment'!$O$102:$P$105)=SUM('Biodiversity Assessment'!$J$102:$M$105),IF('Biodiversity Assessment'!$O$102&gt;0,'Biodiversity Assessment'!$O$102*VLOOKUP('ESVD - Social Value of Bio'!T31&amp;"1",'ESVD - SUMMARY TABLE'!$E$2:$G$294,3,),0)+IF('Biodiversity Assessment'!$O$103&gt;0,'Biodiversity Assessment'!$O$103*VLOOKUP('ESVD - Social Value of Bio'!T31&amp;"2",'ESVD - SUMMARY TABLE'!$E$2:$G$294,3,),0)+IF('Biodiversity Assessment'!$O$104&gt;0,'Biodiversity Assessment'!$O$104*VLOOKUP('ESVD - Social Value of Bio'!T31&amp;"3",'ESVD - SUMMARY TABLE'!$E$2:$G$294,3,),0)+IF('Biodiversity Assessment'!$O$105&gt;0,'Biodiversity Assessment'!$O$105*VLOOKUP('ESVD - Social Value of Bio'!T31&amp;"4",'ESVD - SUMMARY TABLE'!$E$2:$G$294,3,),0),0),IF(S31='ESVD - Land Use &amp; Climate Match'!$A$11,IF(SUM('Biodiversity Assessment'!$AH$102:$AN$105)=SUM('Biodiversity Assessment'!$Z$102:$AF$105),IF('Biodiversity Assessment'!$AH$102&gt;0,'Biodiversity Assessment'!$AH$102*VLOOKUP('ESVD - Social Value of Bio'!T31&amp;"1",'ESVD - SUMMARY TABLE'!$E$2:$G$294,3,FALSE),0)+IF('Biodiversity Assessment'!$AH$103&gt;0,'Biodiversity Assessment'!$AH$103*VLOOKUP('ESVD - Social Value of Bio'!T31&amp;"2",'ESVD - SUMMARY TABLE'!$E$2:$G$294,3,FALSE),0)+IF('Biodiversity Assessment'!$AH$104&gt;0,'Biodiversity Assessment'!$AH$104*VLOOKUP('ESVD - Social Value of Bio'!T31&amp;"3",'ESVD - SUMMARY TABLE'!$E$2:$G$294,3,FALSE),0)+IF('Biodiversity Assessment'!$AH$105&gt;0,'Biodiversity Assessment'!$AH$105*VLOOKUP('ESVD - Social Value of Bio'!T31&amp;"4",'ESVD - SUMMARY TABLE'!$E$2:$G$294,3,FALSE),0),0),IF(S31='ESVD - Land Use &amp; Climate Match'!$A$32,IF(SUM('Biodiversity Assessment'!$BF$102:$BF$106)=SUM('Biodiversity Assessment'!$BD$102:$BD$106),IF('Biodiversity Assessment'!$BF$102&gt;0,'Biodiversity Assessment'!$BF$102*VLOOKUP('ESVD - Social Value of Bio'!T31&amp;"1",'ESVD - SUMMARY TABLE'!$E$2:$G$294,3,FALSE),0)+IF('Biodiversity Assessment'!$BF$103&gt;0,'Biodiversity Assessment'!$BF$103*VLOOKUP('ESVD - Social Value of Bio'!T31&amp;"2",'ESVD - SUMMARY TABLE'!$E$2:$G$294,3,FALSE),0)+IF('Biodiversity Assessment'!$BF$104&gt;0,'Biodiversity Assessment'!$BF$104*VLOOKUP('ESVD - Social Value of Bio'!T31&amp;"3",'ESVD - SUMMARY TABLE'!$E$2:$G$294,3,FALSE),0)+IF('Biodiversity Assessment'!$BF$105&gt;0,'Biodiversity Assessment'!$BF$105*VLOOKUP('ESVD - Social Value of Bio'!T31&amp;"4",'ESVD - SUMMARY TABLE'!$E$2:$G$294,3,FALSE),0)+IF('Biodiversity Assessment'!$BF$106&gt;0,'Biodiversity Assessment'!$BF$106*VLOOKUP('ESVD - Social Value of Bio'!T31&amp;"5",'ESVD - SUMMARY TABLE'!$E$2:$G$294,3,FALSE),0),0),VLOOKUP('ESVD - Social Value of Bio'!T31&amp;"1",'ESVD - SUMMARY TABLE'!$E$2:$G$294,3,FALSE)))),0)</f>
        <v>0</v>
      </c>
      <c r="AB31" s="123">
        <f>'Biodiversity Assessment'!CX46</f>
        <v>0</v>
      </c>
      <c r="AC31" s="124">
        <f>IFERROR(IF(AB31&gt;0,AB31*'Biodiversity Assessment'!U46,IF(AA31&gt;0,AA31*'Biodiversity Assessment'!U46,Z31*'Biodiversity Assessment'!U46)),0)</f>
        <v>0</v>
      </c>
      <c r="AD31" s="456"/>
      <c r="AG31" s="453"/>
    </row>
    <row r="32" spans="1:33" s="110" customFormat="1" ht="10.5" x14ac:dyDescent="0.25">
      <c r="A32" s="107" t="s">
        <v>407</v>
      </c>
      <c r="B32" s="108" t="str">
        <f>IF(Start!$D$28&gt;1000,CONCATENATE(Start!$D$20," Mountain"),Start!$D$20)</f>
        <v>Please select</v>
      </c>
      <c r="C32" s="108" t="str">
        <f>Start!$D$24</f>
        <v>Please select</v>
      </c>
      <c r="D32" s="109" t="str">
        <f>'Biodiversity Assessment'!G47</f>
        <v>Select land use</v>
      </c>
      <c r="E32" s="109" t="str">
        <f>IF(OR(D32=Data!$E$4,D32=Data!$E$5,D32=Data!$E$6,D32=Data!$E$7),Data!$E$4,IF(OR(D32=Data!$E$9,D32=Data!$E$10,D32=Data!$E$11),Data!$E$9,IF(OR(D32=Data!$E$12,D32=Data!$E$13,D32=Data!$E$14),"Cropland",IF(OR(D32=Data!$E$16,D32=Data!$E$17),"Agroforestry",D32))))</f>
        <v>Select land use</v>
      </c>
      <c r="F32" s="109" t="str">
        <f t="shared" si="0"/>
        <v>Please selectPlease selectSelect land use</v>
      </c>
      <c r="G32" s="122">
        <f>IFERROR(IF(E32='ESVD - Land Use &amp; Climate Match'!$A$1,IF('Biodiversity Assessment'!$J$102&gt;0,'Biodiversity Assessment'!$J$102*VLOOKUP('ESVD - Social Value of Bio'!F32&amp;"1",'ESVD - SUMMARY TABLE'!$E$2:$G$294,3,),0)+IF('Biodiversity Assessment'!$J$103&gt;0,'Biodiversity Assessment'!$J$103*VLOOKUP('ESVD - Social Value of Bio'!F32&amp;"2",'ESVD - SUMMARY TABLE'!$E$2:$G$294,3,),0)+IF('Biodiversity Assessment'!$J$104&gt;0,'Biodiversity Assessment'!$J$104*VLOOKUP('ESVD - Social Value of Bio'!F32&amp;"3",'ESVD - SUMMARY TABLE'!$E$2:$G$294,3,),0)+IF('Biodiversity Assessment'!$J$105&gt;0,'Biodiversity Assessment'!$J$105*VLOOKUP('ESVD - Social Value of Bio'!F32&amp;"4",'ESVD - SUMMARY TABLE'!$E$2:$G$294,3,),0),IF(E32='ESVD - Land Use &amp; Climate Match'!$A$11,IF('Biodiversity Assessment'!$Z$102&gt;0,'Biodiversity Assessment'!$Z$102*VLOOKUP('ESVD - Social Value of Bio'!F32&amp;"1",'ESVD - SUMMARY TABLE'!$E$2:$G$294,3,FALSE),0)+IF('Biodiversity Assessment'!$Z$103&gt;0,'Biodiversity Assessment'!$Z$103*VLOOKUP('ESVD - Social Value of Bio'!F32&amp;"2",'ESVD - SUMMARY TABLE'!$E$2:$G$294,3,FALSE),0)+IF('Biodiversity Assessment'!$Z$104&gt;0,'Biodiversity Assessment'!$Z$104*VLOOKUP('ESVD - Social Value of Bio'!F32&amp;"3",'ESVD - SUMMARY TABLE'!$E$2:$G$294,3,FALSE),0)+IF('Biodiversity Assessment'!$Z$105&gt;0,'Biodiversity Assessment'!$Z$105*VLOOKUP('ESVD - Social Value of Bio'!F32&amp;"4",'ESVD - SUMMARY TABLE'!$E$2:$G$294,3,FALSE),0),IF(E32='ESVD - Land Use &amp; Climate Match'!$A$32,IF('Biodiversity Assessment'!$BD$102&gt;0,'Biodiversity Assessment'!$BD$102*VLOOKUP('ESVD - Social Value of Bio'!F32&amp;"1",'ESVD - SUMMARY TABLE'!$E$2:$G$294,3,FALSE),0)+IF('Biodiversity Assessment'!$BD$103&gt;0,'Biodiversity Assessment'!$BD$103*VLOOKUP('ESVD - Social Value of Bio'!F32&amp;"2",'ESVD - SUMMARY TABLE'!$E$2:$G$294,3,FALSE),0)+IF('Biodiversity Assessment'!$BD$104&gt;0,'Biodiversity Assessment'!$BD$104*VLOOKUP('ESVD - Social Value of Bio'!F32&amp;"3",'ESVD - SUMMARY TABLE'!$E$2:$G$294,3,FALSE),0)+IF('Biodiversity Assessment'!$BD$105&gt;0,'Biodiversity Assessment'!$BD$105*VLOOKUP('ESVD - Social Value of Bio'!F32&amp;"4",'ESVD - SUMMARY TABLE'!$E$2:$G$294,3,FALSE),0)+IF('Biodiversity Assessment'!$BD$106&gt;0,'Biodiversity Assessment'!$BD$106*VLOOKUP('ESVD - Social Value of Bio'!F32&amp;"5",'ESVD - SUMMARY TABLE'!$E$2:$G$294,3,FALSE),0),AVERAGE(IF('Biodiversity Assessment'!$J$102&gt;0,'Biodiversity Assessment'!$J$102*VLOOKUP(CONCATENATE($B32,$C32,'ESVD - Land Use &amp; Climate Match'!$A$1)&amp;"1",'ESVD - SUMMARY TABLE'!$E$2:$G$294,3,),0)+IF('Biodiversity Assessment'!$J$103&gt;0,'Biodiversity Assessment'!$J$103*VLOOKUP(CONCATENATE($B32,$C32,'ESVD - Land Use &amp; Climate Match'!$A$1)&amp;"2",'ESVD - SUMMARY TABLE'!$E$2:$G$294,3,),0)+IF('Biodiversity Assessment'!$J$104&gt;0,'Biodiversity Assessment'!$J$104*VLOOKUP(CONCATENATE($B32,$C32,'ESVD - Land Use &amp; Climate Match'!$A$1)&amp;"3",'ESVD - SUMMARY TABLE'!$E$2:$G$294,3,),0)+IF('Biodiversity Assessment'!$J$105&gt;0,'Biodiversity Assessment'!$J$105*VLOOKUP(CONCATENATE($B32,$C32,'ESVD - Land Use &amp; Climate Match'!$A$1)&amp;"4",'ESVD - SUMMARY TABLE'!$E$2:$G$294,3,),0),IF('Biodiversity Assessment'!$Z$102&gt;0,'Biodiversity Assessment'!$Z$102*VLOOKUP(CONCATENATE($B32,$C32,'ESVD - Land Use &amp; Climate Match'!$A$11)&amp;"1",'ESVD - SUMMARY TABLE'!$E$2:$G$294,3,FALSE),0)+IF('Biodiversity Assessment'!$Z$103&gt;0,'Biodiversity Assessment'!$Z$103*VLOOKUP(CONCATENATE($B32,$C32,'ESVD - Land Use &amp; Climate Match'!$A$11)&amp;"2",'ESVD - SUMMARY TABLE'!$E$2:$G$294,3,FALSE),0)+IF('Biodiversity Assessment'!$Z$104&gt;0,'Biodiversity Assessment'!$Z$104*VLOOKUP(CONCATENATE($B32,$C32,'ESVD - Land Use &amp; Climate Match'!$A$11)&amp;"3",'ESVD - SUMMARY TABLE'!$E$2:$G$294,3,FALSE),0)+IF('Biodiversity Assessment'!$Z$105&gt;0,'Biodiversity Assessment'!$Z$105*VLOOKUP(CONCATENATE($B32,$C32,'ESVD - Land Use &amp; Climate Match'!$A$11)&amp;"4",'ESVD - SUMMARY TABLE'!$E$2:$G$294,3,FALSE),0),IF('Biodiversity Assessment'!$BD$102&gt;0,'Biodiversity Assessment'!$BD$102*VLOOKUP(CONCATENATE($B32,$C32,'ESVD - Land Use &amp; Climate Match'!$A$32)&amp;"1",'ESVD - SUMMARY TABLE'!$E$2:$G$294,3,FALSE),0)+IF('Biodiversity Assessment'!$BD$103&gt;0,'Biodiversity Assessment'!$BD$103*VLOOKUP(CONCATENATE($B32,$C32,'ESVD - Land Use &amp; Climate Match'!$A$32)&amp;"2",'ESVD - SUMMARY TABLE'!$E$2:$G$294,3,FALSE),0)+IF('Biodiversity Assessment'!$BD$104&gt;0,'Biodiversity Assessment'!$BD$104*VLOOKUP(CONCATENATE($B32,$C32,'ESVD - Land Use &amp; Climate Match'!$A$32)&amp;"3",'ESVD - SUMMARY TABLE'!$E$2:$G$294,3,FALSE),0)+IF('Biodiversity Assessment'!$BD$105&gt;0,'Biodiversity Assessment'!$BD$105*VLOOKUP(CONCATENATE($B32,$C32,'ESVD - Land Use &amp; Climate Match'!$A$32)&amp;"4",'ESVD - SUMMARY TABLE'!$E$2:$G$294,3,FALSE),0)+IF('Biodiversity Assessment'!$BD$106&gt;0,'Biodiversity Assessment'!$BD$106*VLOOKUP(CONCATENATE($B32,$C32,'ESVD - Land Use &amp; Climate Match'!$A$32)&amp;"5",'ESVD - SUMMARY TABLE'!$E$2:$G$294,3,FALSE)))))),0)</f>
        <v>0</v>
      </c>
      <c r="H32" s="122">
        <f>IFERROR(IF(E32='ESVD - Land Use &amp; Climate Match'!$A$1,IF(SUM('Biodiversity Assessment'!$O$102:$P$105)=SUM('Biodiversity Assessment'!$J$102:$M$105),IF('Biodiversity Assessment'!$O$102&gt;0,'Biodiversity Assessment'!$O$102*VLOOKUP('ESVD - Social Value of Bio'!F32&amp;"1",'ESVD - SUMMARY TABLE'!$E$2:$G$294,3,),0)+IF('Biodiversity Assessment'!$O$103&gt;0,'Biodiversity Assessment'!$O$103*VLOOKUP('ESVD - Social Value of Bio'!F32&amp;"2",'ESVD - SUMMARY TABLE'!$E$2:$G$294,3,),0)+IF('Biodiversity Assessment'!$O$104&gt;0,'Biodiversity Assessment'!$O$104*VLOOKUP('ESVD - Social Value of Bio'!F32&amp;"3",'ESVD - SUMMARY TABLE'!$E$2:$G$294,3,),0)+IF('Biodiversity Assessment'!$O$105&gt;0,'Biodiversity Assessment'!$O$105*VLOOKUP('ESVD - Social Value of Bio'!F32&amp;"4",'ESVD - SUMMARY TABLE'!$E$2:$G$294,3,),0),0),IF(E32='ESVD - Land Use &amp; Climate Match'!$A$11,IF(SUM('Biodiversity Assessment'!$AH$102:$AN$105)=SUM('Biodiversity Assessment'!$Z$102:$AF$105),IF('Biodiversity Assessment'!$AH$102&gt;0,'Biodiversity Assessment'!$AH$102*VLOOKUP('ESVD - Social Value of Bio'!F32&amp;"1",'ESVD - SUMMARY TABLE'!$E$2:$G$294,3,FALSE),0)+IF('Biodiversity Assessment'!$AH$103&gt;0,'Biodiversity Assessment'!$AH$103*VLOOKUP('ESVD - Social Value of Bio'!F32&amp;"2",'ESVD - SUMMARY TABLE'!$E$2:$G$294,3,FALSE),0)+IF('Biodiversity Assessment'!$AH$104&gt;0,'Biodiversity Assessment'!$AH$104*VLOOKUP('ESVD - Social Value of Bio'!F32&amp;"3",'ESVD - SUMMARY TABLE'!$E$2:$G$294,3,FALSE),0)+IF('Biodiversity Assessment'!$AH$105&gt;0,'Biodiversity Assessment'!$AH$105*VLOOKUP('ESVD - Social Value of Bio'!F32&amp;"4",'ESVD - SUMMARY TABLE'!$E$2:$G$294,3,FALSE),0),0),IF(E32='ESVD - Land Use &amp; Climate Match'!$A$32,IF(SUM('Biodiversity Assessment'!$BF$102:$BF$106)=SUM('Biodiversity Assessment'!$BD$102:$BD$106),IF('Biodiversity Assessment'!$BF$102&gt;0,'Biodiversity Assessment'!$BF$102*VLOOKUP('ESVD - Social Value of Bio'!F32&amp;"1",'ESVD - SUMMARY TABLE'!$E$2:$G$294,3,FALSE),0)+IF('Biodiversity Assessment'!$BF$103&gt;0,'Biodiversity Assessment'!$BF$103*VLOOKUP('ESVD - Social Value of Bio'!F32&amp;"2",'ESVD - SUMMARY TABLE'!$E$2:$G$294,3,FALSE),0)+IF('Biodiversity Assessment'!$BF$104&gt;0,'Biodiversity Assessment'!$BF$104*VLOOKUP('ESVD - Social Value of Bio'!F32&amp;"3",'ESVD - SUMMARY TABLE'!$E$2:$G$294,3,FALSE),0)+IF('Biodiversity Assessment'!$BF$105&gt;0,'Biodiversity Assessment'!$BF$105*VLOOKUP('ESVD - Social Value of Bio'!F32&amp;"4",'ESVD - SUMMARY TABLE'!$E$2:$G$294,3,FALSE),0)+IF('Biodiversity Assessment'!$BF$106&gt;0,'Biodiversity Assessment'!$BF$106*VLOOKUP('ESVD - Social Value of Bio'!F32&amp;"5",'ESVD - SUMMARY TABLE'!$E$2:$G$294,3,FALSE),0),0),AVERAGE(IF(SUM('Biodiversity Assessment'!$O$102:$P$105)=SUM('Biodiversity Assessment'!$J$102:$M$105),IF('Biodiversity Assessment'!$O$102&gt;0,'Biodiversity Assessment'!$O$102*VLOOKUP(CONCATENATE($B32,$C32,'ESVD - Land Use &amp; Climate Match'!$A$1)&amp;"1",'ESVD - SUMMARY TABLE'!$E$2:$G$294,3,),0)+IF('Biodiversity Assessment'!$O$103&gt;0,'Biodiversity Assessment'!$O$103*VLOOKUP(CONCATENATE($B32,$C32,'ESVD - Land Use &amp; Climate Match'!$A$1)&amp;"2",'ESVD - SUMMARY TABLE'!$E$2:$G$294,3,),0)+IF('Biodiversity Assessment'!$O$104&gt;0,'Biodiversity Assessment'!$O$104*VLOOKUP(CONCATENATE($B32,$C32,'ESVD - Land Use &amp; Climate Match'!$A$1)&amp;"3",'ESVD - SUMMARY TABLE'!$E$2:$G$294,3,),0)+IF('Biodiversity Assessment'!$O$105&gt;0,'Biodiversity Assessment'!$O$105*VLOOKUP(CONCATENATE($B32,$C32,'ESVD - Land Use &amp; Climate Match'!$A$1)&amp;"4",'ESVD - SUMMARY TABLE'!$E$2:$G$294,3,),0),0),IF(SUM('Biodiversity Assessment'!$AH$102:$AN$105)=SUM('Biodiversity Assessment'!$Z$102:$AF$105),IF('Biodiversity Assessment'!$AH$102&gt;0,'Biodiversity Assessment'!$AH$102*VLOOKUP(CONCATENATE($B32,$C32,'ESVD - Land Use &amp; Climate Match'!$A$11)&amp;"1",'ESVD - SUMMARY TABLE'!$E$2:$G$294,3,FALSE),0)+IF('Biodiversity Assessment'!$AH$103&gt;0,'Biodiversity Assessment'!$AH$103*VLOOKUP(CONCATENATE($B32,$C32,'ESVD - Land Use &amp; Climate Match'!$A$11)&amp;"2",'ESVD - SUMMARY TABLE'!$E$2:$G$294,3,FALSE),0)+IF('Biodiversity Assessment'!$AH$104&gt;0,'Biodiversity Assessment'!$AH$104*VLOOKUP(CONCATENATE($B32,$C32,'ESVD - Land Use &amp; Climate Match'!$A$11)&amp;"3",'ESVD - SUMMARY TABLE'!$E$2:$G$294,3,FALSE),0)+IF('Biodiversity Assessment'!$AH$105&gt;0,'Biodiversity Assessment'!$AH$105*VLOOKUP(CONCATENATE($B32,$C32,'ESVD - Land Use &amp; Climate Match'!$A$11)&amp;"4",'ESVD - SUMMARY TABLE'!$E$2:$G$294,3,FALSE),0),0),IF(SUM('Biodiversity Assessment'!$BF$102:$BF$106)=SUM('Biodiversity Assessment'!$BD$102:$BD$106),IF('Biodiversity Assessment'!$BF$102&gt;0,'Biodiversity Assessment'!$BF$102*VLOOKUP(CONCATENATE($B32,$C32,'ESVD - Land Use &amp; Climate Match'!$A$32)&amp;"1",'ESVD - SUMMARY TABLE'!$E$2:$G$294,3,FALSE),0)+IF('Biodiversity Assessment'!$BF$103&gt;0,'Biodiversity Assessment'!$BF$103*VLOOKUP(CONCATENATE($B32,$C32,'ESVD - Land Use &amp; Climate Match'!$A$32)&amp;"2",'ESVD - SUMMARY TABLE'!$E$2:$G$294,3,FALSE),0)+IF('Biodiversity Assessment'!$BF$104&gt;0,'Biodiversity Assessment'!$BF$104*VLOOKUP(CONCATENATE($B32,$C32,'ESVD - Land Use &amp; Climate Match'!$A$32)&amp;"3",'ESVD - SUMMARY TABLE'!$E$2:$G$294,3,FALSE),0)+IF('Biodiversity Assessment'!$BF$105&gt;0,'Biodiversity Assessment'!$BF$105*VLOOKUP(CONCATENATE($B32,$C32,'ESVD - Land Use &amp; Climate Match'!$A$32)&amp;"4",'ESVD - SUMMARY TABLE'!$E$2:$G$294,3,FALSE),0)+IF('Biodiversity Assessment'!$BF$106&gt;0,'Biodiversity Assessment'!$BF$106*VLOOKUP(CONCATENATE($B32,$C32,'ESVD - Land Use &amp; Climate Match'!$A$32)&amp;"5",'ESVD - SUMMARY TABLE'!$E$2:$G$294,3,FALSE),0),0))))),0)</f>
        <v>0</v>
      </c>
      <c r="I32" s="122">
        <f>'Biodiversity Assessment'!CR47</f>
        <v>0</v>
      </c>
      <c r="J32" s="122">
        <f>IFERROR(IF(I32&gt;0,I32*'Biodiversity Assessment'!$M47,IF(H32&gt;0,H32*'Biodiversity Assessment'!$M47,G32*'Biodiversity Assessment'!$M47)),0)</f>
        <v>0</v>
      </c>
      <c r="K32" s="454"/>
      <c r="L32" s="123">
        <f>IFERROR(IF(E32='ESVD - Land Use &amp; Climate Match'!$A$1,IF('Biodiversity Assessment'!$J$102&gt;0,'Biodiversity Assessment'!$J$102*VLOOKUP('ESVD - Social Value of Bio'!F32&amp;"1",'ESVD - SUMMARY TABLE'!$E$2:$G$294,3,),0)+IF('Biodiversity Assessment'!$J$103&gt;0,'Biodiversity Assessment'!$J$103*VLOOKUP('ESVD - Social Value of Bio'!F32&amp;"2",'ESVD - SUMMARY TABLE'!$E$2:$G$294,3,),0)+IF('Biodiversity Assessment'!$J$104&gt;0,'Biodiversity Assessment'!$J$104*VLOOKUP('ESVD - Social Value of Bio'!F32&amp;"3",'ESVD - SUMMARY TABLE'!$E$2:$G$294,3,),0)+IF('Biodiversity Assessment'!$J$105&gt;0,'Biodiversity Assessment'!$J$105*VLOOKUP('ESVD - Social Value of Bio'!F32&amp;"4",'ESVD - SUMMARY TABLE'!$E$2:$G$294,3,),0),IF(E32='ESVD - Land Use &amp; Climate Match'!$A$11,IF('Biodiversity Assessment'!$Z$102&gt;0,'Biodiversity Assessment'!$Z$102*VLOOKUP('ESVD - Social Value of Bio'!F32&amp;"1",'ESVD - SUMMARY TABLE'!$E$2:$G$294,3,FALSE),0)+IF('Biodiversity Assessment'!$Z$103&gt;0,'Biodiversity Assessment'!$Z$103*VLOOKUP('ESVD - Social Value of Bio'!F32&amp;"2",'ESVD - SUMMARY TABLE'!$E$2:$G$294,3,FALSE),0)+IF('Biodiversity Assessment'!$Z$104&gt;0,'Biodiversity Assessment'!$Z$104*VLOOKUP('ESVD - Social Value of Bio'!F32&amp;"3",'ESVD - SUMMARY TABLE'!$E$2:$G$294,3,FALSE),0)+IF('Biodiversity Assessment'!$Z$105&gt;0,'Biodiversity Assessment'!$Z$105*VLOOKUP('ESVD - Social Value of Bio'!F32&amp;"4",'ESVD - SUMMARY TABLE'!$E$2:$G$294,3,FALSE),0),IF(E32='ESVD - Land Use &amp; Climate Match'!$A$32,IF('Biodiversity Assessment'!$BD$102&gt;0,'Biodiversity Assessment'!$BD$102*VLOOKUP('ESVD - Social Value of Bio'!F32&amp;"1",'ESVD - SUMMARY TABLE'!$E$2:$G$294,3,FALSE),0)+IF('Biodiversity Assessment'!$BD$103&gt;0,'Biodiversity Assessment'!$BD$103*VLOOKUP('ESVD - Social Value of Bio'!F32&amp;"2",'ESVD - SUMMARY TABLE'!$E$2:$G$294,3,FALSE),0)+IF('Biodiversity Assessment'!$BD$104&gt;0,'Biodiversity Assessment'!$BD$104*VLOOKUP('ESVD - Social Value of Bio'!F32&amp;"3",'ESVD - SUMMARY TABLE'!$E$2:$G$294,3,FALSE),0)+IF('Biodiversity Assessment'!$BD$105&gt;0,'Biodiversity Assessment'!$BD$105*VLOOKUP('ESVD - Social Value of Bio'!F32&amp;"4",'ESVD - SUMMARY TABLE'!$E$2:$G$294,3,FALSE),0)+IF('Biodiversity Assessment'!$BD$106&gt;0,'Biodiversity Assessment'!$BD$106*VLOOKUP('ESVD - Social Value of Bio'!F32&amp;"5",'ESVD - SUMMARY TABLE'!$E$2:$G$294,3,FALSE),0),VLOOKUP('ESVD - Social Value of Bio'!F32&amp;"1",'ESVD - SUMMARY TABLE'!$E$2:$G$294,3,FALSE)))),0)</f>
        <v>0</v>
      </c>
      <c r="M32" s="123">
        <f>IFERROR(IF(E32='ESVD - Land Use &amp; Climate Match'!$A$1,IF(SUM('Biodiversity Assessment'!$O$102:$P$105)=SUM('Biodiversity Assessment'!$J$102:$M$105),IF('Biodiversity Assessment'!$O$102&gt;0,'Biodiversity Assessment'!$O$102*VLOOKUP('ESVD - Social Value of Bio'!F32&amp;"1",'ESVD - SUMMARY TABLE'!$E$2:$G$294,3,),0)+IF('Biodiversity Assessment'!$O$103&gt;0,'Biodiversity Assessment'!$O$103*VLOOKUP('ESVD - Social Value of Bio'!F32&amp;"2",'ESVD - SUMMARY TABLE'!$E$2:$G$294,3,),0)+IF('Biodiversity Assessment'!$O$104&gt;0,'Biodiversity Assessment'!$O$104*VLOOKUP('ESVD - Social Value of Bio'!F32&amp;"3",'ESVD - SUMMARY TABLE'!$E$2:$G$294,3,),0)+IF('Biodiversity Assessment'!$O$105&gt;0,'Biodiversity Assessment'!$O$105*VLOOKUP('ESVD - Social Value of Bio'!F32&amp;"4",'ESVD - SUMMARY TABLE'!$E$2:$G$294,3,),0),0),IF(E32='ESVD - Land Use &amp; Climate Match'!$A$11,IF(SUM('Biodiversity Assessment'!$AH$102:$AN$105)=SUM('Biodiversity Assessment'!$Z$102:$AF$105),IF('Biodiversity Assessment'!$AH$102&gt;0,'Biodiversity Assessment'!$AH$102*VLOOKUP('ESVD - Social Value of Bio'!F32&amp;"1",'ESVD - SUMMARY TABLE'!$E$2:$G$294,3,FALSE),0)+IF('Biodiversity Assessment'!$AH$103&gt;0,'Biodiversity Assessment'!$AH$103*VLOOKUP('ESVD - Social Value of Bio'!F32&amp;"2",'ESVD - SUMMARY TABLE'!$E$2:$G$294,3,FALSE),0)+IF('Biodiversity Assessment'!$AH$104&gt;0,'Biodiversity Assessment'!$AH$104*VLOOKUP('ESVD - Social Value of Bio'!F32&amp;"3",'ESVD - SUMMARY TABLE'!$E$2:$G$294,3,FALSE),0)+IF('Biodiversity Assessment'!$AH$105&gt;0,'Biodiversity Assessment'!$AH$105*VLOOKUP('ESVD - Social Value of Bio'!F32&amp;"4",'ESVD - SUMMARY TABLE'!$E$2:$G$294,3,FALSE),0),0),IF(E32='ESVD - Land Use &amp; Climate Match'!$A$32,IF(SUM('Biodiversity Assessment'!$BF$102:$BF$106)=SUM('Biodiversity Assessment'!$BD$102:$BD$106),IF('Biodiversity Assessment'!$BF$102&gt;0,'Biodiversity Assessment'!$BF$102*VLOOKUP('ESVD - Social Value of Bio'!F32&amp;"1",'ESVD - SUMMARY TABLE'!$E$2:$G$294,3,FALSE),0)+IF('Biodiversity Assessment'!$BF$103&gt;0,'Biodiversity Assessment'!$BF$103*VLOOKUP('ESVD - Social Value of Bio'!F32&amp;"2",'ESVD - SUMMARY TABLE'!$E$2:$G$294,3,FALSE),0)+IF('Biodiversity Assessment'!$BF$104&gt;0,'Biodiversity Assessment'!$BF$104*VLOOKUP('ESVD - Social Value of Bio'!F32&amp;"3",'ESVD - SUMMARY TABLE'!$E$2:$G$294,3,FALSE),0)+IF('Biodiversity Assessment'!$BF$105&gt;0,'Biodiversity Assessment'!$BF$105*VLOOKUP('ESVD - Social Value of Bio'!F32&amp;"4",'ESVD - SUMMARY TABLE'!$E$2:$G$294,3,FALSE),0)+IF('Biodiversity Assessment'!$BF$106&gt;0,'Biodiversity Assessment'!$BF$106*VLOOKUP('ESVD - Social Value of Bio'!F32&amp;"5",'ESVD - SUMMARY TABLE'!$E$2:$G$294,3,FALSE),0),0),VLOOKUP('ESVD - Social Value of Bio'!F32&amp;"1",'ESVD - SUMMARY TABLE'!$E$2:$G$294,3,FALSE)))),0)</f>
        <v>0</v>
      </c>
      <c r="N32" s="123">
        <f>'Biodiversity Assessment'!CR47</f>
        <v>0</v>
      </c>
      <c r="O32" s="124">
        <f>IFERROR(IF(N32&gt;0,N32*'Biodiversity Assessment'!M47,IF(M32&gt;0,M32*'Biodiversity Assessment'!M47,L32*'Biodiversity Assessment'!M47)),0)</f>
        <v>0</v>
      </c>
      <c r="P32" s="456"/>
      <c r="R32" s="108" t="str">
        <f>'Biodiversity Assessment'!O47</f>
        <v>Select land use</v>
      </c>
      <c r="S32" s="109" t="str">
        <f>IF(OR(R32=Data!$E$4,R32=Data!$E$5,R32=Data!$E$6,R32=Data!$E$7),Data!$E$4,IF(OR(R32=Data!$E$9,R32=Data!$E$10,R32=Data!$E$11),Data!$E$9,IF(OR(R32=Data!$E$12,R32=Data!$E$13,R32=Data!$E$14),"Cropland",IF(OR(R32=Data!$E$16,R32=Data!$E$17),"Agroforestry",R32))))</f>
        <v>Select land use</v>
      </c>
      <c r="T32" s="109" t="str">
        <f t="shared" si="1"/>
        <v>Please selectPlease selectSelect land use</v>
      </c>
      <c r="U32" s="122">
        <f>IFERROR(IF(S32='ESVD - Land Use &amp; Climate Match'!$A$1,IF('Biodiversity Assessment'!$J$102&gt;0,'Biodiversity Assessment'!$J$102*VLOOKUP('ESVD - Social Value of Bio'!T32&amp;"1",'ESVD - SUMMARY TABLE'!$E$2:$G$294,3,),0)+IF('Biodiversity Assessment'!$J$103&gt;0,'Biodiversity Assessment'!$J$103*VLOOKUP('ESVD - Social Value of Bio'!T32&amp;"2",'ESVD - SUMMARY TABLE'!$E$2:$G$294,3,),0)+IF('Biodiversity Assessment'!$J$104&gt;0,'Biodiversity Assessment'!$J$104*VLOOKUP('ESVD - Social Value of Bio'!T32&amp;"3",'ESVD - SUMMARY TABLE'!$E$2:$G$294,3,),0)+IF('Biodiversity Assessment'!$J$105&gt;0,'Biodiversity Assessment'!$J$105*VLOOKUP('ESVD - Social Value of Bio'!T32&amp;"4",'ESVD - SUMMARY TABLE'!$E$2:$G$294,3,),0),IF(S32='ESVD - Land Use &amp; Climate Match'!$A$11,IF('Biodiversity Assessment'!$Z$102&gt;0,'Biodiversity Assessment'!$Z$102*VLOOKUP('ESVD - Social Value of Bio'!T32&amp;"1",'ESVD - SUMMARY TABLE'!$E$2:$G$294,3,FALSE),0)+IF('Biodiversity Assessment'!$Z$103&gt;0,'Biodiversity Assessment'!$Z$103*VLOOKUP('ESVD - Social Value of Bio'!T32&amp;"2",'ESVD - SUMMARY TABLE'!$E$2:$G$294,3,FALSE),0)+IF('Biodiversity Assessment'!$Z$104&gt;0,'Biodiversity Assessment'!$Z$104*VLOOKUP('ESVD - Social Value of Bio'!T32&amp;"3",'ESVD - SUMMARY TABLE'!$E$2:$G$294,3,FALSE),0)+IF('Biodiversity Assessment'!$Z$105&gt;0,'Biodiversity Assessment'!$Z$105*VLOOKUP('ESVD - Social Value of Bio'!T32&amp;"4",'ESVD - SUMMARY TABLE'!$E$2:$G$294,3,FALSE),0),IF(S32='ESVD - Land Use &amp; Climate Match'!$A$32,IF('Biodiversity Assessment'!$BD$102&gt;0,'Biodiversity Assessment'!$BD$102*VLOOKUP('ESVD - Social Value of Bio'!T32&amp;"1",'ESVD - SUMMARY TABLE'!$E$2:$G$294,3,FALSE),0)+IF('Biodiversity Assessment'!$BD$103&gt;0,'Biodiversity Assessment'!$BD$103*VLOOKUP('ESVD - Social Value of Bio'!T32&amp;"2",'ESVD - SUMMARY TABLE'!$E$2:$G$294,3,FALSE),0)+IF('Biodiversity Assessment'!$BD$104&gt;0,'Biodiversity Assessment'!$BD$104*VLOOKUP('ESVD - Social Value of Bio'!T32&amp;"3",'ESVD - SUMMARY TABLE'!$E$2:$G$294,3,FALSE),0)+IF('Biodiversity Assessment'!$BD$105&gt;0,'Biodiversity Assessment'!$BD$105*VLOOKUP('ESVD - Social Value of Bio'!T32&amp;"4",'ESVD - SUMMARY TABLE'!$E$2:$G$294,3,FALSE),0)+IF('Biodiversity Assessment'!$BD$106&gt;0,'Biodiversity Assessment'!$BD$106*VLOOKUP('ESVD - Social Value of Bio'!T32&amp;"5",'ESVD - SUMMARY TABLE'!$E$2:$G$294,3,FALSE),0),AVERAGE(IF('Biodiversity Assessment'!$J$102&gt;0,'Biodiversity Assessment'!$J$102*VLOOKUP(CONCATENATE(B32,C32,'ESVD - Land Use &amp; Climate Match'!$A$1)&amp;"1",'ESVD - SUMMARY TABLE'!$E$2:$G$294,3,),0)+IF('Biodiversity Assessment'!$J$103&gt;0,'Biodiversity Assessment'!$J$103*VLOOKUP(CONCATENATE(B32,C32,'ESVD - Land Use &amp; Climate Match'!$A$1)&amp;"2",'ESVD - SUMMARY TABLE'!$E$2:$G$294,3,),0)+IF('Biodiversity Assessment'!$J$104&gt;0,'Biodiversity Assessment'!$J$104*VLOOKUP(CONCATENATE(B32,C32,'ESVD - Land Use &amp; Climate Match'!$A$1)&amp;"3",'ESVD - SUMMARY TABLE'!$E$2:$G$294,3,),0)+IF('Biodiversity Assessment'!$J$105&gt;0,'Biodiversity Assessment'!$J$105*VLOOKUP(CONCATENATE(B32,C32,'ESVD - Land Use &amp; Climate Match'!$A$1)&amp;"4",'ESVD - SUMMARY TABLE'!$E$2:$G$294,3,),0),IF('Biodiversity Assessment'!$Z$102&gt;0,'Biodiversity Assessment'!$Z$102*VLOOKUP(CONCATENATE(B32,C32,'ESVD - Land Use &amp; Climate Match'!$A$11)&amp;"1",'ESVD - SUMMARY TABLE'!$E$2:$G$294,3,FALSE),0)+IF('Biodiversity Assessment'!$Z$103&gt;0,'Biodiversity Assessment'!$Z$103*VLOOKUP(CONCATENATE(B32,C32,'ESVD - Land Use &amp; Climate Match'!$A$11)&amp;"2",'ESVD - SUMMARY TABLE'!$E$2:$G$294,3,FALSE),0)+IF('Biodiversity Assessment'!$Z$104&gt;0,'Biodiversity Assessment'!$Z$104*VLOOKUP(CONCATENATE(B32,C32,'ESVD - Land Use &amp; Climate Match'!$A$11)&amp;"3",'ESVD - SUMMARY TABLE'!$E$2:$G$294,3,FALSE),0)+IF('Biodiversity Assessment'!$Z$105&gt;0,'Biodiversity Assessment'!$Z$105*VLOOKUP(CONCATENATE(B32,C32,'ESVD - Land Use &amp; Climate Match'!$A$11)&amp;"4",'ESVD - SUMMARY TABLE'!$E$2:$G$294,3,FALSE),0),IF('Biodiversity Assessment'!$BD$102&gt;0,'Biodiversity Assessment'!$BD$102*VLOOKUP(CONCATENATE(B32,C32,'ESVD - Land Use &amp; Climate Match'!$A$32)&amp;"1",'ESVD - SUMMARY TABLE'!$E$2:$G$294,3,FALSE),0)+IF('Biodiversity Assessment'!$BD$103&gt;0,'Biodiversity Assessment'!$BD$103*VLOOKUP(CONCATENATE(B32,C32,'ESVD - Land Use &amp; Climate Match'!$A$32)&amp;"2",'ESVD - SUMMARY TABLE'!$E$2:$G$294,3,FALSE),0)+IF('Biodiversity Assessment'!$BD$104&gt;0,'Biodiversity Assessment'!$BD$104*VLOOKUP(CONCATENATE(B32,C32,'ESVD - Land Use &amp; Climate Match'!$A$32)&amp;"3",'ESVD - SUMMARY TABLE'!$E$2:$G$294,3,FALSE),0)+IF('Biodiversity Assessment'!$BD$105&gt;0,'Biodiversity Assessment'!$BD$105*VLOOKUP(CONCATENATE(B32,C32,'ESVD - Land Use &amp; Climate Match'!$A$32)&amp;"4",'ESVD - SUMMARY TABLE'!$E$2:$G$294,3,FALSE),0)+IF('Biodiversity Assessment'!$BD$106&gt;0,'Biodiversity Assessment'!$BD$106*VLOOKUP(CONCATENATE(B32,C32,'ESVD - Land Use &amp; Climate Match'!$A$32)&amp;"5",'ESVD - SUMMARY TABLE'!$E$2:$G$294,3,FALSE)))))),0)</f>
        <v>0</v>
      </c>
      <c r="V32" s="122">
        <f>IFERROR(IF(S32='ESVD - Land Use &amp; Climate Match'!$A$1,IF(SUM('Biodiversity Assessment'!$O$102:$P$105)=SUM('Biodiversity Assessment'!$J$102:$M$105),IF('Biodiversity Assessment'!$O$102&gt;0,'Biodiversity Assessment'!$O$102*VLOOKUP('ESVD - Social Value of Bio'!T32&amp;"1",'ESVD - SUMMARY TABLE'!$E$2:$G$294,3,),0)+IF('Biodiversity Assessment'!$O$103&gt;0,'Biodiversity Assessment'!$O$103*VLOOKUP('ESVD - Social Value of Bio'!T32&amp;"2",'ESVD - SUMMARY TABLE'!$E$2:$G$294,3,),0)+IF('Biodiversity Assessment'!$O$104&gt;0,'Biodiversity Assessment'!$O$104*VLOOKUP('ESVD - Social Value of Bio'!T32&amp;"3",'ESVD - SUMMARY TABLE'!$E$2:$G$294,3,),0)+IF('Biodiversity Assessment'!$O$105&gt;0,'Biodiversity Assessment'!$O$105*VLOOKUP('ESVD - Social Value of Bio'!T32&amp;"4",'ESVD - SUMMARY TABLE'!$E$2:$G$294,3,),0),0),IF(S32='ESVD - Land Use &amp; Climate Match'!$A$11,IF(SUM('Biodiversity Assessment'!$AH$102:$AN$105)=SUM('Biodiversity Assessment'!$Z$102:$AF$105),IF('Biodiversity Assessment'!$AH$102&gt;0,'Biodiversity Assessment'!$AH$102*VLOOKUP('ESVD - Social Value of Bio'!T32&amp;"1",'ESVD - SUMMARY TABLE'!$E$2:$G$294,3,FALSE),0)+IF('Biodiversity Assessment'!$AH$103&gt;0,'Biodiversity Assessment'!$AH$103*VLOOKUP('ESVD - Social Value of Bio'!T32&amp;"2",'ESVD - SUMMARY TABLE'!$E$2:$G$294,3,FALSE),0)+IF('Biodiversity Assessment'!$AH$104&gt;0,'Biodiversity Assessment'!$AH$104*VLOOKUP('ESVD - Social Value of Bio'!T32&amp;"3",'ESVD - SUMMARY TABLE'!$E$2:$G$294,3,FALSE),0)+IF('Biodiversity Assessment'!$AH$105&gt;0,'Biodiversity Assessment'!$AH$105*VLOOKUP('ESVD - Social Value of Bio'!T32&amp;"4",'ESVD - SUMMARY TABLE'!$E$2:$G$294,3,FALSE),0),0),IF(S32='ESVD - Land Use &amp; Climate Match'!$A$32,IF(SUM('Biodiversity Assessment'!$BF$102:$BF$106)=SUM('Biodiversity Assessment'!$BD$102:$BD$106),IF('Biodiversity Assessment'!$BF$102&gt;0,'Biodiversity Assessment'!$BF$102*VLOOKUP('ESVD - Social Value of Bio'!T32&amp;"1",'ESVD - SUMMARY TABLE'!$E$2:$G$294,3,FALSE),0)+IF('Biodiversity Assessment'!$BF$103&gt;0,'Biodiversity Assessment'!$BF$103*VLOOKUP('ESVD - Social Value of Bio'!T32&amp;"2",'ESVD - SUMMARY TABLE'!$E$2:$G$294,3,FALSE),0)+IF('Biodiversity Assessment'!$BF$104&gt;0,'Biodiversity Assessment'!$BF$104*VLOOKUP('ESVD - Social Value of Bio'!T32&amp;"3",'ESVD - SUMMARY TABLE'!$E$2:$G$294,3,FALSE),0)+IF('Biodiversity Assessment'!$BF$105&gt;0,'Biodiversity Assessment'!$BF$105*VLOOKUP('ESVD - Social Value of Bio'!T32&amp;"4",'ESVD - SUMMARY TABLE'!$E$2:$G$294,3,FALSE),0)+IF('Biodiversity Assessment'!$BF$106&gt;0,'Biodiversity Assessment'!$BF$106*VLOOKUP('ESVD - Social Value of Bio'!T32&amp;"5",'ESVD - SUMMARY TABLE'!$E$2:$G$294,3,FALSE),0),0),AVERAGE(IF(SUM('Biodiversity Assessment'!$O$102:$P$105)=SUM('Biodiversity Assessment'!$J$102:$M$105),IF('Biodiversity Assessment'!$O$102&gt;0,'Biodiversity Assessment'!$O$102*VLOOKUP(CONCATENATE($B32,$C32,'ESVD - Land Use &amp; Climate Match'!$A$1)&amp;"1",'ESVD - SUMMARY TABLE'!$E$2:$G$294,3,),0)+IF('Biodiversity Assessment'!$O$103&gt;0,'Biodiversity Assessment'!$O$103*VLOOKUP(CONCATENATE($B32,$C32,'ESVD - Land Use &amp; Climate Match'!$A$1)&amp;"2",'ESVD - SUMMARY TABLE'!$E$2:$G$294,3,),0)+IF('Biodiversity Assessment'!$O$104&gt;0,'Biodiversity Assessment'!$O$104*VLOOKUP(CONCATENATE($B32,$C32,'ESVD - Land Use &amp; Climate Match'!$A$1)&amp;"3",'ESVD - SUMMARY TABLE'!$E$2:$G$294,3,),0)+IF('Biodiversity Assessment'!$O$105&gt;0,'Biodiversity Assessment'!$O$105*VLOOKUP(CONCATENATE($B32,$C32,'ESVD - Land Use &amp; Climate Match'!$A$1)&amp;"4",'ESVD - SUMMARY TABLE'!$E$2:$G$294,3,),0),0),IF(SUM('Biodiversity Assessment'!$AH$102:$AN$105)=SUM('Biodiversity Assessment'!$Z$102:$AF$105),IF('Biodiversity Assessment'!$AH$102&gt;0,'Biodiversity Assessment'!$AH$102*VLOOKUP(CONCATENATE($B32,$C32,'ESVD - Land Use &amp; Climate Match'!$A$11)&amp;"1",'ESVD - SUMMARY TABLE'!$E$2:$G$294,3,FALSE),0)+IF('Biodiversity Assessment'!$AH$103&gt;0,'Biodiversity Assessment'!$AH$103*VLOOKUP(CONCATENATE($B32,$C32,'ESVD - Land Use &amp; Climate Match'!$A$11)&amp;"2",'ESVD - SUMMARY TABLE'!$E$2:$G$294,3,FALSE),0)+IF('Biodiversity Assessment'!$AH$104&gt;0,'Biodiversity Assessment'!$AH$104*VLOOKUP(CONCATENATE($B32,$C32,'ESVD - Land Use &amp; Climate Match'!$A$11)&amp;"3",'ESVD - SUMMARY TABLE'!$E$2:$G$294,3,FALSE),0)+IF('Biodiversity Assessment'!$AH$105&gt;0,'Biodiversity Assessment'!$AH$105*VLOOKUP(CONCATENATE($B32,$C32,'ESVD - Land Use &amp; Climate Match'!$A$11)&amp;"4",'ESVD - SUMMARY TABLE'!$E$2:$G$294,3,FALSE),0),0),IF(SUM('Biodiversity Assessment'!$BF$102:$BF$106)=SUM('Biodiversity Assessment'!$BD$102:$BD$106),IF('Biodiversity Assessment'!$BF$102&gt;0,'Biodiversity Assessment'!$BF$102*VLOOKUP(CONCATENATE($B32,$C32,'ESVD - Land Use &amp; Climate Match'!$A$32)&amp;"1",'ESVD - SUMMARY TABLE'!$E$2:$G$294,3,FALSE),0)+IF('Biodiversity Assessment'!$BF$103&gt;0,'Biodiversity Assessment'!$BF$103*VLOOKUP(CONCATENATE($B32,$C32,'ESVD - Land Use &amp; Climate Match'!$A$32)&amp;"2",'ESVD - SUMMARY TABLE'!$E$2:$G$294,3,FALSE),0)+IF('Biodiversity Assessment'!$BF$104&gt;0,'Biodiversity Assessment'!$BF$104*VLOOKUP(CONCATENATE($B32,$C32,'ESVD - Land Use &amp; Climate Match'!$A$32)&amp;"3",'ESVD - SUMMARY TABLE'!$E$2:$G$294,3,FALSE),0)+IF('Biodiversity Assessment'!$BF$105&gt;0,'Biodiversity Assessment'!$BF$105*VLOOKUP(CONCATENATE($B32,$C32,'ESVD - Land Use &amp; Climate Match'!$A$32)&amp;"4",'ESVD - SUMMARY TABLE'!$E$2:$G$294,3,FALSE),0)+IF('Biodiversity Assessment'!$BF$106&gt;0,'Biodiversity Assessment'!$BF$106*VLOOKUP(CONCATENATE($B32,$C32,'ESVD - Land Use &amp; Climate Match'!$A$32)&amp;"5",'ESVD - SUMMARY TABLE'!$E$2:$G$294,3,FALSE),0),0))))),0)</f>
        <v>0</v>
      </c>
      <c r="W32" s="122">
        <f>'Biodiversity Assessment'!CX47</f>
        <v>0</v>
      </c>
      <c r="X32" s="122">
        <f>IFERROR(IF(W32&gt;0,W32*'Biodiversity Assessment'!$U47,IF(V32&gt;0,V32*'Biodiversity Assessment'!$U47,U32*'Biodiversity Assessment'!$U47)),0)</f>
        <v>0</v>
      </c>
      <c r="Y32" s="454"/>
      <c r="Z32" s="123">
        <f>IFERROR(IF(S32='ESVD - Land Use &amp; Climate Match'!$A$1,IF('Biodiversity Assessment'!$J$102&gt;0,'Biodiversity Assessment'!$J$102*VLOOKUP('ESVD - Social Value of Bio'!T32&amp;"1",'ESVD - SUMMARY TABLE'!$E$2:$G$294,3,),0)+IF('Biodiversity Assessment'!$J$103&gt;0,'Biodiversity Assessment'!$J$103*VLOOKUP('ESVD - Social Value of Bio'!T32&amp;"2",'ESVD - SUMMARY TABLE'!$E$2:$G$294,3,),0)+IF('Biodiversity Assessment'!$J$104&gt;0,'Biodiversity Assessment'!$J$104*VLOOKUP('ESVD - Social Value of Bio'!T32&amp;"3",'ESVD - SUMMARY TABLE'!$E$2:$G$294,3,),0)+IF('Biodiversity Assessment'!$J$105&gt;0,'Biodiversity Assessment'!$J$105*VLOOKUP('ESVD - Social Value of Bio'!T32&amp;"4",'ESVD - SUMMARY TABLE'!$E$2:$G$294,3,),0),IF(S32='ESVD - Land Use &amp; Climate Match'!$A$11,IF('Biodiversity Assessment'!$Z$102&gt;0,'Biodiversity Assessment'!$Z$102*VLOOKUP('ESVD - Social Value of Bio'!T32&amp;"1",'ESVD - SUMMARY TABLE'!$E$2:$G$294,3,FALSE),0)+IF('Biodiversity Assessment'!$Z$103&gt;0,'Biodiversity Assessment'!$Z$103*VLOOKUP('ESVD - Social Value of Bio'!T32&amp;"2",'ESVD - SUMMARY TABLE'!$E$2:$G$294,3,FALSE),0)+IF('Biodiversity Assessment'!$Z$104&gt;0,'Biodiversity Assessment'!$Z$104*VLOOKUP('ESVD - Social Value of Bio'!T32&amp;"3",'ESVD - SUMMARY TABLE'!$E$2:$G$294,3,FALSE),0)+IF('Biodiversity Assessment'!$Z$105&gt;0,'Biodiversity Assessment'!$Z$105*VLOOKUP('ESVD - Social Value of Bio'!T32&amp;"4",'ESVD - SUMMARY TABLE'!$E$2:$G$294,3,FALSE),0),IF(S32='ESVD - Land Use &amp; Climate Match'!$A$32,IF('Biodiversity Assessment'!$BD$102&gt;0,'Biodiversity Assessment'!$BD$102*VLOOKUP('ESVD - Social Value of Bio'!T32&amp;"1",'ESVD - SUMMARY TABLE'!$E$2:$G$294,3,FALSE),0)+IF('Biodiversity Assessment'!$BD$103&gt;0,'Biodiversity Assessment'!$BD$103*VLOOKUP('ESVD - Social Value of Bio'!T32&amp;"2",'ESVD - SUMMARY TABLE'!$E$2:$G$294,3,FALSE),0)+IF('Biodiversity Assessment'!$BD$104&gt;0,'Biodiversity Assessment'!$BD$104*VLOOKUP('ESVD - Social Value of Bio'!T32&amp;"3",'ESVD - SUMMARY TABLE'!$E$2:$G$294,3,FALSE),0)+IF('Biodiversity Assessment'!$BD$105&gt;0,'Biodiversity Assessment'!$BD$105*VLOOKUP('ESVD - Social Value of Bio'!T32&amp;"4",'ESVD - SUMMARY TABLE'!$E$2:$G$294,3,FALSE),0)+IF('Biodiversity Assessment'!$BD$106&gt;0,'Biodiversity Assessment'!$BD$106*VLOOKUP('ESVD - Social Value of Bio'!T32&amp;"5",'ESVD - SUMMARY TABLE'!$E$2:$G$294,3,FALSE),0),VLOOKUP('ESVD - Social Value of Bio'!T32&amp;"1",'ESVD - SUMMARY TABLE'!$E$2:$G$294,3,FALSE)))),0)</f>
        <v>0</v>
      </c>
      <c r="AA32" s="123">
        <f>IFERROR(IF(S32='ESVD - Land Use &amp; Climate Match'!$A$1,IF(SUM('Biodiversity Assessment'!$O$102:$P$105)=SUM('Biodiversity Assessment'!$J$102:$M$105),IF('Biodiversity Assessment'!$O$102&gt;0,'Biodiversity Assessment'!$O$102*VLOOKUP('ESVD - Social Value of Bio'!T32&amp;"1",'ESVD - SUMMARY TABLE'!$E$2:$G$294,3,),0)+IF('Biodiversity Assessment'!$O$103&gt;0,'Biodiversity Assessment'!$O$103*VLOOKUP('ESVD - Social Value of Bio'!T32&amp;"2",'ESVD - SUMMARY TABLE'!$E$2:$G$294,3,),0)+IF('Biodiversity Assessment'!$O$104&gt;0,'Biodiversity Assessment'!$O$104*VLOOKUP('ESVD - Social Value of Bio'!T32&amp;"3",'ESVD - SUMMARY TABLE'!$E$2:$G$294,3,),0)+IF('Biodiversity Assessment'!$O$105&gt;0,'Biodiversity Assessment'!$O$105*VLOOKUP('ESVD - Social Value of Bio'!T32&amp;"4",'ESVD - SUMMARY TABLE'!$E$2:$G$294,3,),0),0),IF(S32='ESVD - Land Use &amp; Climate Match'!$A$11,IF(SUM('Biodiversity Assessment'!$AH$102:$AN$105)=SUM('Biodiversity Assessment'!$Z$102:$AF$105),IF('Biodiversity Assessment'!$AH$102&gt;0,'Biodiversity Assessment'!$AH$102*VLOOKUP('ESVD - Social Value of Bio'!T32&amp;"1",'ESVD - SUMMARY TABLE'!$E$2:$G$294,3,FALSE),0)+IF('Biodiversity Assessment'!$AH$103&gt;0,'Biodiversity Assessment'!$AH$103*VLOOKUP('ESVD - Social Value of Bio'!T32&amp;"2",'ESVD - SUMMARY TABLE'!$E$2:$G$294,3,FALSE),0)+IF('Biodiversity Assessment'!$AH$104&gt;0,'Biodiversity Assessment'!$AH$104*VLOOKUP('ESVD - Social Value of Bio'!T32&amp;"3",'ESVD - SUMMARY TABLE'!$E$2:$G$294,3,FALSE),0)+IF('Biodiversity Assessment'!$AH$105&gt;0,'Biodiversity Assessment'!$AH$105*VLOOKUP('ESVD - Social Value of Bio'!T32&amp;"4",'ESVD - SUMMARY TABLE'!$E$2:$G$294,3,FALSE),0),0),IF(S32='ESVD - Land Use &amp; Climate Match'!$A$32,IF(SUM('Biodiversity Assessment'!$BF$102:$BF$106)=SUM('Biodiversity Assessment'!$BD$102:$BD$106),IF('Biodiversity Assessment'!$BF$102&gt;0,'Biodiversity Assessment'!$BF$102*VLOOKUP('ESVD - Social Value of Bio'!T32&amp;"1",'ESVD - SUMMARY TABLE'!$E$2:$G$294,3,FALSE),0)+IF('Biodiversity Assessment'!$BF$103&gt;0,'Biodiversity Assessment'!$BF$103*VLOOKUP('ESVD - Social Value of Bio'!T32&amp;"2",'ESVD - SUMMARY TABLE'!$E$2:$G$294,3,FALSE),0)+IF('Biodiversity Assessment'!$BF$104&gt;0,'Biodiversity Assessment'!$BF$104*VLOOKUP('ESVD - Social Value of Bio'!T32&amp;"3",'ESVD - SUMMARY TABLE'!$E$2:$G$294,3,FALSE),0)+IF('Biodiversity Assessment'!$BF$105&gt;0,'Biodiversity Assessment'!$BF$105*VLOOKUP('ESVD - Social Value of Bio'!T32&amp;"4",'ESVD - SUMMARY TABLE'!$E$2:$G$294,3,FALSE),0)+IF('Biodiversity Assessment'!$BF$106&gt;0,'Biodiversity Assessment'!$BF$106*VLOOKUP('ESVD - Social Value of Bio'!T32&amp;"5",'ESVD - SUMMARY TABLE'!$E$2:$G$294,3,FALSE),0),0),VLOOKUP('ESVD - Social Value of Bio'!T32&amp;"1",'ESVD - SUMMARY TABLE'!$E$2:$G$294,3,FALSE)))),0)</f>
        <v>0</v>
      </c>
      <c r="AB32" s="123">
        <f>'Biodiversity Assessment'!CX47</f>
        <v>0</v>
      </c>
      <c r="AC32" s="124">
        <f>IFERROR(IF(AB32&gt;0,AB32*'Biodiversity Assessment'!U47,IF(AA32&gt;0,AA32*'Biodiversity Assessment'!U47,Z32*'Biodiversity Assessment'!U47)),0)</f>
        <v>0</v>
      </c>
      <c r="AD32" s="456"/>
      <c r="AG32" s="453"/>
    </row>
    <row r="34" spans="4:16" x14ac:dyDescent="0.25">
      <c r="P34" s="111"/>
    </row>
    <row r="35" spans="4:16" x14ac:dyDescent="0.25">
      <c r="D35" s="8" t="str">
        <f>CONCATENATE(B3,C3,'ESVD - Land Use &amp; Climate Match'!A1)</f>
        <v>Please selectPlease selectFOREST ZONE (DEFAULT)</v>
      </c>
      <c r="O35" s="111"/>
    </row>
    <row r="36" spans="4:16" x14ac:dyDescent="0.25">
      <c r="L36" s="11"/>
    </row>
    <row r="37" spans="4:16" x14ac:dyDescent="0.25">
      <c r="L37" s="11"/>
    </row>
  </sheetData>
  <mergeCells count="7">
    <mergeCell ref="AG3:AG32"/>
    <mergeCell ref="Y3:Y32"/>
    <mergeCell ref="R1:AD1"/>
    <mergeCell ref="AD3:AD32"/>
    <mergeCell ref="P3:P32"/>
    <mergeCell ref="B1:P1"/>
    <mergeCell ref="K3:K32"/>
  </mergeCells>
  <phoneticPr fontId="9" type="noConversion"/>
  <pageMargins left="0.7" right="0.7" top="0.75" bottom="0.75" header="0.3" footer="0.3"/>
  <pageSetup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0">
    <tabColor theme="0"/>
  </sheetPr>
  <dimension ref="A1:BF181"/>
  <sheetViews>
    <sheetView zoomScale="70" zoomScaleNormal="70" workbookViewId="0">
      <selection activeCell="AH56" sqref="AH56"/>
    </sheetView>
  </sheetViews>
  <sheetFormatPr defaultColWidth="9.1796875" defaultRowHeight="12.5" x14ac:dyDescent="0.25"/>
  <cols>
    <col min="1" max="1" width="9.1796875" style="3"/>
    <col min="2" max="2" width="56.7265625" style="3" bestFit="1" customWidth="1"/>
    <col min="3" max="3" width="36.81640625" style="3" customWidth="1"/>
    <col min="4" max="4" width="12.54296875" style="3" customWidth="1"/>
    <col min="5" max="5" width="36.81640625" style="3" customWidth="1"/>
    <col min="6" max="6" width="13.54296875" style="3" bestFit="1" customWidth="1"/>
    <col min="7" max="7" width="31.54296875" style="3" customWidth="1"/>
    <col min="8" max="8" width="30.7265625" style="3" customWidth="1"/>
    <col min="9" max="9" width="19.54296875" style="3" customWidth="1"/>
    <col min="10" max="10" width="18.26953125" style="3" customWidth="1"/>
    <col min="11" max="11" width="21.7265625" style="3" bestFit="1" customWidth="1"/>
    <col min="12" max="12" width="20.54296875" style="3" bestFit="1" customWidth="1"/>
    <col min="13" max="14" width="9.1796875" style="3" customWidth="1"/>
    <col min="15" max="16" width="9.54296875" style="3" bestFit="1" customWidth="1"/>
    <col min="17" max="17" width="9.1796875" style="3"/>
    <col min="18" max="18" width="12.7265625" style="3" bestFit="1" customWidth="1"/>
    <col min="19" max="19" width="12.7265625" style="3" customWidth="1"/>
    <col min="20" max="21" width="9.1796875" style="3"/>
    <col min="22" max="22" width="9.54296875" style="3" bestFit="1" customWidth="1"/>
    <col min="23" max="24" width="9.54296875" style="3" customWidth="1"/>
    <col min="25" max="30" width="10.1796875" style="3" customWidth="1"/>
    <col min="31" max="34" width="9.1796875" style="3"/>
    <col min="35" max="35" width="15" style="3" bestFit="1" customWidth="1"/>
    <col min="36" max="36" width="10.7265625" style="3" bestFit="1" customWidth="1"/>
    <col min="37" max="16384" width="9.1796875" style="3"/>
  </cols>
  <sheetData>
    <row r="1" spans="1:38" x14ac:dyDescent="0.25">
      <c r="A1" s="7"/>
      <c r="B1" s="7"/>
      <c r="C1" s="7"/>
      <c r="D1" s="7"/>
      <c r="E1" s="7"/>
      <c r="F1" s="7"/>
      <c r="G1" s="7"/>
      <c r="H1" s="7"/>
      <c r="I1" s="7"/>
      <c r="J1" s="7"/>
      <c r="K1" s="7"/>
      <c r="L1" s="7"/>
      <c r="M1" s="7"/>
      <c r="N1" s="7"/>
      <c r="O1" s="7"/>
      <c r="P1" s="7"/>
      <c r="Q1" s="7"/>
      <c r="R1" s="7"/>
      <c r="S1" s="7"/>
    </row>
    <row r="2" spans="1:38" x14ac:dyDescent="0.25">
      <c r="A2" s="7"/>
      <c r="B2" s="7"/>
      <c r="C2" s="7"/>
      <c r="D2" s="7"/>
      <c r="E2" s="7"/>
      <c r="F2" s="7"/>
      <c r="G2" s="7"/>
      <c r="H2" s="7"/>
      <c r="I2" s="7"/>
      <c r="J2" s="7"/>
      <c r="K2" s="7"/>
      <c r="L2" s="7"/>
      <c r="M2" s="7"/>
      <c r="N2" s="7"/>
      <c r="O2" s="7"/>
      <c r="P2" s="7"/>
      <c r="Q2" s="7"/>
      <c r="R2" s="7"/>
      <c r="S2" s="7"/>
    </row>
    <row r="3" spans="1:38" x14ac:dyDescent="0.25">
      <c r="A3" s="7"/>
      <c r="B3" s="7" t="s">
        <v>41</v>
      </c>
      <c r="C3" s="7" t="e">
        <f>IF(AND(#REF!="Boreal",#REF!="Dry"),Data!B4,IF(AND(#REF!="Boreal",#REF!="Moist"),Data!B5,IF(AND(#REF!="Boreal",#REF!="Wet"),Data!B6,IF(AND(#REF!="Cool Temperate",#REF!="Dry"),Data!B7,IF(AND(#REF!="Cool Temperate",#REF!="Moist"),Data!B8,IF(AND(#REF!="Cool Temperate",#REF!="Wet"),Data!B9,IF(AND(#REF!="Warm Temperate",#REF!="Dry"),Data!B10,IF(AND(#REF!="Warm Temperate",#REF!="Moist"),Data!B11,IF(AND(#REF!="Warm Temperate",#REF!="Wet"),Data!B12,IF(AND(#REF!="Tropical",#REF!="Dry"),Data!B13,IF(AND(#REF!="Tropical",#REF!="Moist"),Data!B14,IF(AND(#REF!="Tropical",#REF!="Wet"),Data!B15,IF(AND(#REF!="Tropical Mountain",#REF!="Dry"),Data!B16,IF(AND(#REF!="Tropical Mountain",#REF!="Moist"),Data!B17,IF(AND(#REF!="Tropical Mountain",#REF!="Wet"),Data!B18,"?")))))))))))))))</f>
        <v>#REF!</v>
      </c>
      <c r="D3" s="7"/>
      <c r="E3" s="7"/>
      <c r="F3" s="7"/>
      <c r="G3" s="7"/>
      <c r="H3" s="7"/>
      <c r="I3" s="7"/>
      <c r="J3" s="7"/>
      <c r="K3" s="7"/>
      <c r="L3" s="7"/>
      <c r="M3" s="7"/>
      <c r="N3" s="7"/>
      <c r="O3" s="7"/>
      <c r="P3" s="7"/>
      <c r="Q3" s="7"/>
      <c r="R3" s="7"/>
      <c r="S3" s="7"/>
    </row>
    <row r="4" spans="1:38" x14ac:dyDescent="0.25">
      <c r="A4" s="7"/>
      <c r="B4" s="7" t="s">
        <v>43</v>
      </c>
      <c r="C4" s="7" t="e">
        <f>#REF!</f>
        <v>#REF!</v>
      </c>
      <c r="D4" s="7"/>
      <c r="E4" s="7"/>
      <c r="F4" s="7"/>
      <c r="G4" s="7"/>
      <c r="H4" s="7"/>
      <c r="I4" s="7"/>
      <c r="J4" s="7"/>
      <c r="K4" s="7"/>
      <c r="L4" s="7"/>
      <c r="M4" s="7"/>
      <c r="N4" s="7"/>
      <c r="O4" s="7"/>
      <c r="P4" s="7"/>
      <c r="Q4" s="7"/>
      <c r="R4" s="7"/>
      <c r="S4" s="7"/>
    </row>
    <row r="5" spans="1:38" x14ac:dyDescent="0.25">
      <c r="A5" s="7"/>
      <c r="B5" s="7"/>
      <c r="C5" s="7"/>
      <c r="D5" s="7"/>
      <c r="E5" s="7"/>
      <c r="F5" s="7"/>
      <c r="G5" s="7"/>
      <c r="H5" s="7"/>
      <c r="I5" s="7"/>
      <c r="J5" s="7"/>
      <c r="K5" s="7"/>
      <c r="L5" s="7"/>
      <c r="M5" s="7"/>
      <c r="N5" s="7"/>
      <c r="O5" s="7"/>
      <c r="P5" s="7"/>
      <c r="Q5" s="7"/>
      <c r="R5" s="7"/>
      <c r="S5" s="7"/>
    </row>
    <row r="6" spans="1:38" x14ac:dyDescent="0.25">
      <c r="A6" s="7"/>
      <c r="B6" s="7" t="s">
        <v>44</v>
      </c>
      <c r="C6" s="7" t="s">
        <v>10</v>
      </c>
      <c r="D6" s="7"/>
      <c r="E6" s="7"/>
      <c r="F6" s="7"/>
      <c r="G6" s="7"/>
      <c r="H6" s="7"/>
      <c r="I6" s="7"/>
      <c r="J6" s="7"/>
      <c r="K6" s="7"/>
      <c r="L6" s="7"/>
      <c r="M6" s="7"/>
      <c r="N6" s="7"/>
      <c r="O6" s="7"/>
      <c r="P6" s="7"/>
      <c r="Q6" s="7"/>
      <c r="R6" s="7"/>
      <c r="S6" s="7"/>
    </row>
    <row r="7" spans="1:38" x14ac:dyDescent="0.25">
      <c r="A7" s="7"/>
      <c r="B7" s="7"/>
      <c r="C7" s="7"/>
      <c r="D7" s="7"/>
      <c r="E7" s="7"/>
      <c r="F7" s="7"/>
      <c r="G7" s="7"/>
      <c r="H7" s="7"/>
      <c r="I7" s="7"/>
      <c r="J7" s="7"/>
      <c r="K7" s="7"/>
      <c r="L7" s="7"/>
      <c r="M7" s="7"/>
      <c r="N7" s="7"/>
      <c r="O7" s="7"/>
      <c r="P7" s="7"/>
      <c r="Q7" s="7"/>
      <c r="R7" s="7"/>
      <c r="S7" s="7"/>
    </row>
    <row r="8" spans="1:38" ht="12.75" customHeight="1" x14ac:dyDescent="0.25">
      <c r="A8" s="7"/>
      <c r="B8" s="7"/>
      <c r="C8" s="463" t="s">
        <v>16</v>
      </c>
      <c r="D8" s="463"/>
      <c r="E8" s="463"/>
      <c r="F8" s="463"/>
      <c r="G8" s="463"/>
      <c r="H8" s="463"/>
      <c r="I8" s="458" t="s">
        <v>397</v>
      </c>
      <c r="J8" s="463"/>
      <c r="K8" s="460" t="s">
        <v>45</v>
      </c>
      <c r="L8" s="460"/>
      <c r="M8" s="460" t="s">
        <v>46</v>
      </c>
      <c r="N8" s="460"/>
      <c r="O8" s="464" t="s">
        <v>72</v>
      </c>
      <c r="P8" s="465"/>
      <c r="Q8" s="7"/>
      <c r="R8" s="460" t="s">
        <v>47</v>
      </c>
      <c r="S8" s="460"/>
      <c r="U8" s="462" t="s">
        <v>20</v>
      </c>
      <c r="V8" s="462"/>
      <c r="W8" s="30"/>
      <c r="X8" s="461" t="s">
        <v>330</v>
      </c>
      <c r="Y8" s="461"/>
      <c r="Z8" s="59"/>
      <c r="AA8" s="461" t="s">
        <v>424</v>
      </c>
      <c r="AB8" s="461"/>
      <c r="AC8" s="461"/>
      <c r="AD8" s="461"/>
      <c r="AG8" s="457" t="s">
        <v>76</v>
      </c>
      <c r="AH8" s="457"/>
      <c r="AI8" s="457"/>
      <c r="AJ8" s="457"/>
      <c r="AK8" s="457"/>
      <c r="AL8" s="457"/>
    </row>
    <row r="9" spans="1:38" x14ac:dyDescent="0.25">
      <c r="A9" s="7"/>
      <c r="B9" s="7"/>
      <c r="C9" s="463" t="s">
        <v>48</v>
      </c>
      <c r="D9" s="463"/>
      <c r="E9" s="463"/>
      <c r="F9" s="463"/>
      <c r="G9" s="463"/>
      <c r="H9" s="463"/>
      <c r="I9" s="463" t="s">
        <v>313</v>
      </c>
      <c r="J9" s="463"/>
      <c r="K9" s="460"/>
      <c r="L9" s="460"/>
      <c r="M9" s="460"/>
      <c r="N9" s="460"/>
      <c r="O9" s="465"/>
      <c r="P9" s="465"/>
      <c r="Q9" s="7"/>
      <c r="R9" s="460"/>
      <c r="S9" s="460"/>
      <c r="U9" s="462"/>
      <c r="V9" s="462"/>
      <c r="W9" s="30"/>
      <c r="X9" s="461"/>
      <c r="Y9" s="461"/>
      <c r="Z9" s="59"/>
      <c r="AA9" s="461"/>
      <c r="AB9" s="461"/>
      <c r="AC9" s="461"/>
      <c r="AD9" s="461"/>
      <c r="AF9" s="65"/>
      <c r="AG9" s="457" t="s">
        <v>27</v>
      </c>
      <c r="AH9" s="457"/>
      <c r="AI9" s="457"/>
      <c r="AJ9" s="457" t="s">
        <v>49</v>
      </c>
      <c r="AK9" s="457"/>
      <c r="AL9" s="457"/>
    </row>
    <row r="10" spans="1:38" x14ac:dyDescent="0.25">
      <c r="A10" s="7"/>
      <c r="B10" s="7"/>
      <c r="C10" s="24" t="s">
        <v>26</v>
      </c>
      <c r="D10" s="60" t="s">
        <v>23</v>
      </c>
      <c r="E10" s="24" t="s">
        <v>12</v>
      </c>
      <c r="F10" s="27" t="s">
        <v>23</v>
      </c>
      <c r="G10" s="27"/>
      <c r="H10" s="27"/>
      <c r="I10" s="27" t="s">
        <v>26</v>
      </c>
      <c r="J10" s="27" t="s">
        <v>12</v>
      </c>
      <c r="K10" s="28" t="s">
        <v>27</v>
      </c>
      <c r="L10" s="28" t="s">
        <v>49</v>
      </c>
      <c r="M10" s="28" t="s">
        <v>27</v>
      </c>
      <c r="N10" s="28" t="s">
        <v>49</v>
      </c>
      <c r="O10" s="63" t="s">
        <v>27</v>
      </c>
      <c r="P10" s="63" t="s">
        <v>49</v>
      </c>
      <c r="Q10" s="7"/>
      <c r="R10" s="28" t="s">
        <v>27</v>
      </c>
      <c r="S10" s="28" t="s">
        <v>49</v>
      </c>
      <c r="U10" s="29" t="s">
        <v>27</v>
      </c>
      <c r="V10" s="29" t="s">
        <v>49</v>
      </c>
      <c r="W10" s="29"/>
      <c r="X10" s="29" t="s">
        <v>27</v>
      </c>
      <c r="Y10" s="29" t="s">
        <v>49</v>
      </c>
      <c r="Z10" s="61"/>
      <c r="AA10" s="460" t="s">
        <v>27</v>
      </c>
      <c r="AB10" s="460"/>
      <c r="AC10" s="460" t="s">
        <v>49</v>
      </c>
      <c r="AD10" s="460"/>
      <c r="AF10" s="4"/>
      <c r="AG10" s="10" t="s">
        <v>7</v>
      </c>
      <c r="AH10" s="5" t="s">
        <v>72</v>
      </c>
      <c r="AI10" s="5" t="s">
        <v>455</v>
      </c>
      <c r="AJ10" s="10" t="s">
        <v>7</v>
      </c>
      <c r="AK10" s="5" t="s">
        <v>72</v>
      </c>
      <c r="AL10" s="5" t="s">
        <v>455</v>
      </c>
    </row>
    <row r="11" spans="1:38" ht="14.5" x14ac:dyDescent="0.25">
      <c r="A11" s="7"/>
      <c r="B11" s="7" t="s">
        <v>50</v>
      </c>
      <c r="C11" s="7" t="str">
        <f>'Biodiversity Assessment'!G18</f>
        <v>Select land use</v>
      </c>
      <c r="D11" s="7">
        <f>'Biodiversity Assessment'!M18</f>
        <v>0</v>
      </c>
      <c r="E11" s="7" t="str">
        <f>'Biodiversity Assessment'!O18</f>
        <v>Select land use</v>
      </c>
      <c r="F11" s="27">
        <f>'Biodiversity Assessment'!U18</f>
        <v>0</v>
      </c>
      <c r="G11" s="27"/>
      <c r="H11" s="27"/>
      <c r="I11" s="27">
        <f>'Biodiversity Assessment'!BD18</f>
        <v>0</v>
      </c>
      <c r="J11" s="27">
        <f>'Biodiversity Assessment'!BF18</f>
        <v>0</v>
      </c>
      <c r="K11" s="16" t="str">
        <f>IF(C11=Data!$E$3,"?",IF(Biodiversity!C11=Data!$E$4,Data!$G$4,IF(Biodiversity!C11=Data!$E$5,Data!$G$5,IF(Biodiversity!C11=Data!$E$6,Data!$G$6,IF(Biodiversity!C11=Data!$E$7,Data!$G$7,IF(Biodiversity!C11=Data!$E$8,Data!$G$8,IF(Biodiversity!C11=Data!$E$9,Data!$G$9,IF(Biodiversity!C11=Data!$E$10,Data!$G$10,IF(Biodiversity!C11=Data!$E$11,Data!$G$11,IF(Biodiversity!C11=Data!$E$12,Data!$G$12,IF(Biodiversity!C11=Data!$E$13,Data!$G$13,IF(Biodiversity!C11=Data!$E$14,Data!$G$14,IF(Biodiversity!C11=Data!$E$15,Data!$G$15,IF(Biodiversity!C11=Data!$E$16,Data!$G$16,IF(Biodiversity!C11=Data!$E$17,Data!$G$17,IF(Biodiversity!C11=Data!$E$18,Data!$G$18,IF(Biodiversity!C11=Data!$E$19,Data!$G$19,IF(Biodiversity!C11=Data!$E$20,Data!$G$20,IF(Biodiversity!C11=Data!$E$21,Data!$G$21,"")))))))))))))))))))</f>
        <v>?</v>
      </c>
      <c r="L11" s="16" t="str">
        <f>IF(E11=Data!$E$3,"?",IF(Biodiversity!E11=Data!$E$4,Data!$G$4,IF(Biodiversity!E11=Data!$E$5,Data!$G$5,IF(Biodiversity!E11=Data!$E$6,Data!$G$6,IF(Biodiversity!E11=Data!$E$7,Data!$G$7,IF(Biodiversity!E11=Data!$E$8,Data!$G$8,IF(Biodiversity!E11=Data!$E$9,Data!$G$9,IF(Biodiversity!E11=Data!$E$10,Data!$G$10,IF(Biodiversity!E11=Data!$E$11,Data!$G$11,IF(Biodiversity!E11=Data!$E$12,Data!$G$12,IF(Biodiversity!E11=Data!$E$13,Data!$G$13,IF(Biodiversity!E11=Data!$E$14,Data!$G$14,IF(Biodiversity!E11=Data!$E$15,Data!$G$15,IF(Biodiversity!E11=Data!$E$16,Data!$G$16,IF(Biodiversity!E11=Data!$E$17,Data!$G$17,IF(Biodiversity!E11=Data!$E$18,Data!$G$18,IF(Biodiversity!E11=Data!$E$19,Data!$G$19,IF(Biodiversity!E11=Data!$E$20,Data!$G$20,IF(Biodiversity!E11=Data!$E$21,Data!$G$21,"")))))))))))))))))))</f>
        <v>?</v>
      </c>
      <c r="M11" s="16" t="str">
        <f t="shared" ref="M11:M40" si="0">IFERROR(IF(1-(I11*2/($D11*100)*(1-0.78))&lt;0,0,1-(I11*2/($D11*100)*(1-0.78))),"?")</f>
        <v>?</v>
      </c>
      <c r="N11" s="16" t="str">
        <f t="shared" ref="N11:N40" si="1">IFERROR(IF(1-(J11*2/($F11*100)*(1-0.78))&lt;0,0,1-(J11*2/($F11*100)*(1-0.78))),"?")</f>
        <v>?</v>
      </c>
      <c r="O11" s="15" t="str">
        <f>IF(AA11="","?",IF(AB11=1,AH$11,IF(AB11=2,AH$12, IF(AB11=3,AH$13, IF(AB11=4,AH$14, IF(AB11=5,AH$15, IF(AB11=6,AH$16, IF(AB11=7,AH$17, IF(AB11=8,AH$18, IF(AB11=9,AH$19, IF(AB11=10,AH$20, IF(AB11=11,AH$21, IF(AB11=12,AH$22, IF(AB11=13,AH$23, IF(AB11=14,AH$24, IF(AB11=15,AH$25, IF(AB11=16,AH$26, IF(AB11=17,AH$27, IF(AB11=18,AH$28, IF(AB11=19,AH$29, IF(AB11=20,AH$30, IF(AB11=21,AH$31, IF(AB11=22,AH$32, IF(AB11=23,AH$33, IF(AB11=24,AH$34, IF(AB11=25,AH$35, IF(AB11=26,AH$36, IF(AB11=27,AH$37, IF(AB11=28,AH$38, IF(AB11=29,AH$39, IF(AB11=30,AH$40, IF(AB11="?",1,"?"))))))))))))))))))))))))))))))))</f>
        <v>?</v>
      </c>
      <c r="P11" s="15" t="str">
        <f>IF(AC11="","?",IF(AD11=1,AK$11,IF(AD11=2,AK$12, IF(AD11=3,AK$13, IF(AD11=4,AK$14, IF(AD11=5,AK$15, IF(AD11=6,AK$16, IF(AD11=7,AK$17, IF(AD11=8,AK$18, IF(AD11=9,AK$19, IF(AD11=10,AK$20, IF(AD11=11,AK$21, IF(AD11=12,AK$22, IF(AD11=13,AK$23, IF(AD11=14,AK$24, IF(AD11=15,AK$25, IF(AD11=16,AK$26, IF(AD11=17,AK$27, IF(AD11=18,AK$28, IF(AD11=19,AK$29, IF(AD11=20,AK$30, IF(AD11=21,AK$31, IF(AD11=22,AK$32, IF(AD11=23,AK$33, IF(AD11=24,AK$34, IF(AD11=25,AK$35, IF(AD11=26,AK$36, IF(AD11=27,AK$37, IF(AD11=28,AK$38, IF(AD11=29,AK$39, IF(AD11=30,AK$40, IF(AD11="?",1,"?"))))))))))))))))))))))))))))))))</f>
        <v>?</v>
      </c>
      <c r="Q11" s="7"/>
      <c r="R11" s="26" t="str">
        <f>IFERROR(IF(AA11="A",K11,Biodiversity!K11*Biodiversity!M11*O11),"?")</f>
        <v>?</v>
      </c>
      <c r="S11" s="16" t="str">
        <f>IFERROR(IF(AC11="A",L11,Biodiversity!L11*Biodiversity!N11*P11),"?")</f>
        <v>?</v>
      </c>
      <c r="U11" s="15">
        <f>IFERROR(D11/SUM(D$11:D$40),0)</f>
        <v>0</v>
      </c>
      <c r="V11" s="15">
        <f>IFERROR(F11/SUM(F$11:F$40),0)</f>
        <v>0</v>
      </c>
      <c r="W11" s="15"/>
      <c r="X11" s="15">
        <f>'Biodiversity Assessment'!CH18</f>
        <v>0</v>
      </c>
      <c r="Y11" s="15">
        <f>'Biodiversity Assessment'!CJ18</f>
        <v>0</v>
      </c>
      <c r="Z11" s="15"/>
      <c r="AA11" s="15" t="str">
        <f>'Biodiversity Assessment'!J18</f>
        <v/>
      </c>
      <c r="AB11" s="67" t="str">
        <f>'Biodiversity Assessment'!K18</f>
        <v>?</v>
      </c>
      <c r="AC11" s="15" t="str">
        <f>'Biodiversity Assessment'!R18</f>
        <v/>
      </c>
      <c r="AD11" s="67" t="str">
        <f>'Biodiversity Assessment'!S18</f>
        <v>?</v>
      </c>
      <c r="AF11" s="58" t="s">
        <v>425</v>
      </c>
      <c r="AG11" s="46">
        <f>IF(AB11=1,D11,0)+ IF(AB12=1,D12,0)+ IF(AB13=1,D13,0)+ IF(AB14=1,D14,0)+ IF(AB15=1,D15,0)+ IF(AB16=1,D16,0)+ IF(AB17=1,D17,0)+ IF(AB18=1,D18,0)+ IF(AB19=1,D19,0)+ IF(AB20=1,D20,0)+ IF(AB21=1,D21,0)+ IF(AB22=1,D22,0)+ IF(AB23=1,D23,0)+ IF(AB24=1,D24,0)+ IF(AB25=1,D25,0)+ IF(AB26=1,D26,0)+ IF(AB27=1,D27,0)+ IF(AB28=1,D28,0)+ IF(AB29=1,D29,0)+ IF(AB30=1,D30,0)+ IF(AB31=1,D31,0)+ IF(AB32=1,D32,0)+ IF(AB33=1,D33,0)+ IF(AB34=1,D34,0)+ IF(AB35=1,D35,0)+ IF(AB36=1,D36,0)+ IF(AB37=1,D37,0)+ IF(AB38=1,D38,0)+ IF(AB39=1,D39,0)+ IF(AB40=1,D40,0)</f>
        <v>0</v>
      </c>
      <c r="AH11" s="62">
        <f>IF(AND(AG11&gt;=0,AG11&lt;100),AG11*Data!$L$18+Data!$L$11,IF(AND(AG11&gt;=100,AG11&lt;1000),AG11*Data!$L$19+Data!$L$12,IF(AND(AG11&gt;=1000,AG11&lt;10000),AG11*Data!$L$20+Data!$L$13,IF(AND(AG11&gt;=10000,AG11&lt;100000),AG11*Data!$L$21+Data!$L$14,IF(AND(AG11&gt;=100000,AG11&lt;1000000),AG11*Data!$L$22+Data!$L$15,IF(AG11&gt;=1000000,1,"?"))))))</f>
        <v>0.35</v>
      </c>
      <c r="AI11" s="62">
        <f>IFERROR(AG11/SUM(D$11:D$40),0)</f>
        <v>0</v>
      </c>
      <c r="AJ11" s="62">
        <f>IF(AD11=1,F11,0)+ IF(AD12=1,F12,0)+ IF(AD13=1,F13,0)+ IF(AD14=1,F14,0)+ IF(AD15=1,F15,0)+ IF(AD16=1,F16,0)+ IF(AD17=1,F17,0)+ IF(AD18=1,F18,0)+ IF(AD19=1,F19,0)+ IF(AD20=1,F20,0)+ IF(AD21=1,F21,0)+ IF(AD22=1,F22,0)+ IF(AD23=1,F23,0)+ IF(AD24=1,F24,0)+ IF(AD25=1,F25,0)+ IF(AD26=1,F26,0)+ IF(AD27=1,F27,0)+ IF(AD28=1,F28,0)+ IF(AD29=1,F29,0)+ IF(AD30=1,F30,0)+ IF(AD31=1,F31,0)+ IF(AD32=1,F32,0)+ IF(AD33=1,F33,0)+ IF(AD34=1,F34,0)+ IF(AD35=1,F35,0)+ IF(AD36=1,F36,0)+ IF(AD37=1,F37,0)+ IF(AD38=1,F38,0)+ IF(AD39=1,F39,0)+ IF(AD40=1,F40,0)</f>
        <v>0</v>
      </c>
      <c r="AK11" s="66">
        <f>IF(AND(AJ11&gt;=0,AJ11&lt;100),AJ11*Data!$L$18+Data!$L$11,IF(AND(AJ11&gt;=100,AJ11&lt;1000),AJ11*Data!$L$19+Data!$L$12,IF(AND(AJ11&gt;=1000,AJ11&lt;10000),AJ11*Data!$L$20+Data!$L$13,IF(AND(AJ11&gt;=10000,AJ11&lt;100000),AJ11*Data!$L$21+Data!$L$14,IF(AND(AJ11&gt;=100000,AJ11&lt;1000000),AJ11*Data!$L$22+Data!$L$15,IF(AJ11&gt;=1000000,1,"?"))))))</f>
        <v>0.35</v>
      </c>
      <c r="AL11" s="3">
        <f>IFERROR(AJ11/SUM(F$11:F$40),0)</f>
        <v>0</v>
      </c>
    </row>
    <row r="12" spans="1:38" ht="14.5" x14ac:dyDescent="0.25">
      <c r="A12" s="7"/>
      <c r="B12" s="7" t="s">
        <v>51</v>
      </c>
      <c r="C12" s="7" t="str">
        <f>'Biodiversity Assessment'!G19</f>
        <v>Select land use</v>
      </c>
      <c r="D12" s="7">
        <f>'Biodiversity Assessment'!M19</f>
        <v>0</v>
      </c>
      <c r="E12" s="7" t="str">
        <f>'Biodiversity Assessment'!O19</f>
        <v>Select land use</v>
      </c>
      <c r="F12" s="54">
        <f>'Biodiversity Assessment'!U19</f>
        <v>0</v>
      </c>
      <c r="G12" s="27"/>
      <c r="H12" s="27"/>
      <c r="I12" s="27">
        <f>'Biodiversity Assessment'!BD19</f>
        <v>0</v>
      </c>
      <c r="J12" s="27">
        <f>'Biodiversity Assessment'!BF19</f>
        <v>0</v>
      </c>
      <c r="K12" s="16" t="str">
        <f>IF(C12=Data!$E$3,"?",IF(Biodiversity!C12=Data!$E$4,Data!$G$4,IF(Biodiversity!C12=Data!$E$5,Data!$G$5,IF(Biodiversity!C12=Data!$E$6,Data!$G$6,IF(Biodiversity!C12=Data!$E$7,Data!$G$7,IF(Biodiversity!C12=Data!$E$8,Data!$G$8,IF(Biodiversity!C12=Data!$E$9,Data!$G$9,IF(Biodiversity!C12=Data!$E$10,Data!$G$10,IF(Biodiversity!C12=Data!$E$11,Data!$G$11,IF(Biodiversity!C12=Data!$E$12,Data!$G$12,IF(Biodiversity!C12=Data!$E$13,Data!$G$13,IF(Biodiversity!C12=Data!$E$14,Data!$G$14,IF(Biodiversity!C12=Data!$E$15,Data!$G$15,IF(Biodiversity!C12=Data!$E$16,Data!$G$16,IF(Biodiversity!C12=Data!$E$17,Data!$G$17,IF(Biodiversity!C12=Data!$E$18,Data!$G$18,IF(Biodiversity!C12=Data!$E$19,Data!$G$19,IF(Biodiversity!C12=Data!$E$20,Data!$G$20,IF(Biodiversity!C12=Data!$E$21,Data!$G$21,"")))))))))))))))))))</f>
        <v>?</v>
      </c>
      <c r="L12" s="16" t="str">
        <f>IF(E12=Data!$E$3,"?",IF(Biodiversity!E12=Data!$E$4,Data!$G$4,IF(Biodiversity!E12=Data!$E$5,Data!$G$5,IF(Biodiversity!E12=Data!$E$6,Data!$G$6,IF(Biodiversity!E12=Data!$E$7,Data!$G$7,IF(Biodiversity!E12=Data!$E$8,Data!$G$8,IF(Biodiversity!E12=Data!$E$9,Data!$G$9,IF(Biodiversity!E12=Data!$E$10,Data!$G$10,IF(Biodiversity!E12=Data!$E$11,Data!$G$11,IF(Biodiversity!E12=Data!$E$12,Data!$G$12,IF(Biodiversity!E12=Data!$E$13,Data!$G$13,IF(Biodiversity!E12=Data!$E$14,Data!$G$14,IF(Biodiversity!E12=Data!$E$15,Data!$G$15,IF(Biodiversity!E12=Data!$E$16,Data!$G$16,IF(Biodiversity!E12=Data!$E$17,Data!$G$17,IF(Biodiversity!E12=Data!$E$18,Data!$G$18,IF(Biodiversity!E12=Data!$E$19,Data!$G$19,IF(Biodiversity!E12=Data!$E$20,Data!$G$20,IF(Biodiversity!E12=Data!$E$21,Data!$G$21,"")))))))))))))))))))</f>
        <v>?</v>
      </c>
      <c r="M12" s="16" t="str">
        <f t="shared" si="0"/>
        <v>?</v>
      </c>
      <c r="N12" s="16" t="str">
        <f t="shared" si="1"/>
        <v>?</v>
      </c>
      <c r="O12" s="15" t="str">
        <f t="shared" ref="O12:O40" si="2">IF(AA12="","?",IF(AB12=1,AH$11,IF(AB12=2,AH$12, IF(AB12=3,AH$13, IF(AB12=4,AH$14, IF(AB12=5,AH$15, IF(AB12=6,AH$16, IF(AB12=7,AH$17, IF(AB12=8,AH$18, IF(AB12=9,AH$19, IF(AB12=10,AH$20, IF(AB12=11,AH$21, IF(AB12=12,AH$22, IF(AB12=13,AH$23, IF(AB12=14,AH$24, IF(AB12=15,AH$25, IF(AB12=16,AH$26, IF(AB12=17,AH$27, IF(AB12=18,AH$28, IF(AB12=19,AH$29, IF(AB12=20,AH$30, IF(AB12=21,AH$31, IF(AB12=22,AH$32, IF(AB12=23,AH$33, IF(AB12=24,AH$34, IF(AB12=25,AH$35, IF(AB12=26,AH$36, IF(AB12=27,AH$37, IF(AB12=28,AH$38, IF(AB12=29,AH$39, IF(AB12=30,AH$40, IF(AB12="?",1,"?"))))))))))))))))))))))))))))))))</f>
        <v>?</v>
      </c>
      <c r="P12" s="15" t="str">
        <f t="shared" ref="P12:P40" si="3">IF(AC12="","?",IF(AD12=1,AK$11,IF(AD12=2,AK$12, IF(AD12=3,AK$13, IF(AD12=4,AK$14, IF(AD12=5,AK$15, IF(AD12=6,AK$16, IF(AD12=7,AK$17, IF(AD12=8,AK$18, IF(AD12=9,AK$19, IF(AD12=10,AK$20, IF(AD12=11,AK$21, IF(AD12=12,AK$22, IF(AD12=13,AK$23, IF(AD12=14,AK$24, IF(AD12=15,AK$25, IF(AD12=16,AK$26, IF(AD12=17,AK$27, IF(AD12=18,AK$28, IF(AD12=19,AK$29, IF(AD12=20,AK$30, IF(AD12=21,AK$31, IF(AD12=22,AK$32, IF(AD12=23,AK$33, IF(AD12=24,AK$34, IF(AD12=25,AK$35, IF(AD12=26,AK$36, IF(AD12=27,AK$37, IF(AD12=28,AK$38, IF(AD12=29,AK$39, IF(AD12=30,AK$40, IF(AD12="?",1,"?"))))))))))))))))))))))))))))))))</f>
        <v>?</v>
      </c>
      <c r="Q12" s="7"/>
      <c r="R12" s="26" t="str">
        <f>IFERROR(IF(AA12="A",K12,Biodiversity!K12*Biodiversity!M12*O12),"?")</f>
        <v>?</v>
      </c>
      <c r="S12" s="16" t="str">
        <f>IFERROR(IF(AC12="A",L12,Biodiversity!L12*Biodiversity!N12*P12),"?")</f>
        <v>?</v>
      </c>
      <c r="U12" s="15">
        <f t="shared" ref="U12:U40" si="4">IFERROR(D12/SUM(D$11:D$40),0)</f>
        <v>0</v>
      </c>
      <c r="V12" s="15">
        <f t="shared" ref="V12:V40" si="5">IFERROR(F12/SUM(F$11:F$40),0)</f>
        <v>0</v>
      </c>
      <c r="W12" s="15"/>
      <c r="X12" s="15">
        <f>'Biodiversity Assessment'!CH19</f>
        <v>0</v>
      </c>
      <c r="Y12" s="15">
        <f>'Biodiversity Assessment'!CJ19</f>
        <v>0</v>
      </c>
      <c r="Z12" s="15"/>
      <c r="AA12" s="15" t="str">
        <f>'Biodiversity Assessment'!J19</f>
        <v/>
      </c>
      <c r="AB12" s="67" t="str">
        <f>'Biodiversity Assessment'!K19</f>
        <v>?</v>
      </c>
      <c r="AC12" s="15" t="str">
        <f>'Biodiversity Assessment'!R19</f>
        <v/>
      </c>
      <c r="AD12" s="67" t="str">
        <f>'Biodiversity Assessment'!S19</f>
        <v>?</v>
      </c>
      <c r="AF12" s="58" t="s">
        <v>426</v>
      </c>
      <c r="AG12" s="46">
        <f>IF(AB11=2,D11,0)+ IF(AB12=2,D12,0)+ IF(AB13=2,D13,0)+ IF(AB14=2,D14,0)+ IF(AB15=2,D15,0)+ IF(AB16=2,D16,0)+ IF(AB17=2,D17,0)+ IF(AB18=2,D18,0)+ IF(AB19=2,D19,0)+ IF(AB20=2,D20,0)+ IF(AB21=2,D21,0)+ IF(AB22=2,D22,0)+ IF(AB23=2,D23,0)+ IF(AB24=2,D24,0)+ IF(AB25=2,D25,0)+ IF(AB26=2,D26,0)+ IF(AB27=2,D27,0)+ IF(AB28=2,D28,0)+ IF(AB29=2,D29,0)+ IF(AB30=2,D30,0)+ IF(AB31=2,D31,0)+ IF(AB32=2,D32,0)+ IF(AB33=2,D33,0)+ IF(AB34=2,D34,0)+ IF(AB35=2,D35,0)+ IF(AB36=2,D36,0)+ IF(AB37=2,D37,0)+ IF(AB38=2,D38,0)+ IF(AB39=2,D39,0)+ IF(AB40=2,D40,0)</f>
        <v>0</v>
      </c>
      <c r="AH12" s="62">
        <f>IF(AND(AG12&gt;=0,AG12&lt;100),AG12*Data!$L$18+Data!$L$11,IF(AND(AG12&gt;=100,AG12&lt;1000),AG12*Data!$L$19+Data!$L$12,IF(AND(AG12&gt;=1000,AG12&lt;10000),AG12*Data!$L$20+Data!$L$13,IF(AND(AG12&gt;=10000,AG12&lt;100000),AG12*Data!$L$21+Data!$L$14,IF(AND(AG12&gt;=100000,AG12&lt;1000000),AG12*Data!$L$22+Data!$L$15,IF(AG12&gt;=1000000,1,"?"))))))</f>
        <v>0.35</v>
      </c>
      <c r="AI12" s="76">
        <f t="shared" ref="AI12:AI40" si="6">IFERROR(AG12/SUM(D$11:D$40),0)</f>
        <v>0</v>
      </c>
      <c r="AJ12" s="66">
        <f>IF(AD11=2,F11,0)+ IF(AD12=2,F12,0)+ IF(AD13=2,F13,0)+ IF(AD14=2,F14,0)+ IF(AD15=2,F15,0)+ IF(AD16=2,F16,0)+ IF(AD17=2,F17,0)+ IF(AD18=2,F18,0)+ IF(AD19=2,F19,0)+ IF(AD20=2,F20,0)+ IF(AD21=2,F21,0)+ IF(AD22=2,F22,0)+ IF(AD23=2,F23,0)+ IF(AD24=2,F24,0)+ IF(AD25=2,F25,0)+ IF(AD26=2,F26,0)+ IF(AD27=2,F27,0)+ IF(AD28=2,F28,0)+ IF(AD29=2,F29,0)+ IF(AD30=2,F30,0)+ IF(AD31=2,F31,0)+ IF(AD32=2,F32,0)+ IF(AD33=2,F33,0)+ IF(AD34=2,F34,0)+ IF(AD35=2,F35,0)+ IF(AD36=2,F36,0)+ IF(AD37=2,F37,0)+ IF(AD38=2,F38,0)+ IF(AD39=2,F39,0)+ IF(AD40=2,F40,0)</f>
        <v>0</v>
      </c>
      <c r="AK12" s="66">
        <f>IF(AND(AJ12&gt;=0,AJ12&lt;100),AJ12*Data!$L$18+Data!$L$11,IF(AND(AJ12&gt;=100,AJ12&lt;1000),AJ12*Data!$L$19+Data!$L$12,IF(AND(AJ12&gt;=1000,AJ12&lt;10000),AJ12*Data!$L$20+Data!$L$13,IF(AND(AJ12&gt;=10000,AJ12&lt;100000),AJ12*Data!$L$21+Data!$L$14,IF(AND(AJ12&gt;=100000,AJ12&lt;1000000),AJ12*Data!$L$22+Data!$L$15,IF(AJ12&gt;=1000000,1,"?"))))))</f>
        <v>0.35</v>
      </c>
      <c r="AL12" s="3">
        <f t="shared" ref="AL12:AL40" si="7">IFERROR(AJ12/SUM(F$11:F$40),0)</f>
        <v>0</v>
      </c>
    </row>
    <row r="13" spans="1:38" ht="14.5" x14ac:dyDescent="0.25">
      <c r="A13" s="7"/>
      <c r="B13" s="7" t="s">
        <v>52</v>
      </c>
      <c r="C13" s="7" t="str">
        <f>'Biodiversity Assessment'!G20</f>
        <v>Select land use</v>
      </c>
      <c r="D13" s="7">
        <f>'Biodiversity Assessment'!M20</f>
        <v>0</v>
      </c>
      <c r="E13" s="7" t="str">
        <f>'Biodiversity Assessment'!O20</f>
        <v>Select land use</v>
      </c>
      <c r="F13" s="54">
        <f>'Biodiversity Assessment'!U20</f>
        <v>0</v>
      </c>
      <c r="G13" s="27"/>
      <c r="H13" s="27"/>
      <c r="I13" s="27">
        <f>'Biodiversity Assessment'!BD20</f>
        <v>0</v>
      </c>
      <c r="J13" s="27">
        <f>'Biodiversity Assessment'!BF20</f>
        <v>0</v>
      </c>
      <c r="K13" s="16" t="str">
        <f>IF(C13=Data!$E$3,"?",IF(Biodiversity!C13=Data!$E$4,Data!$G$4,IF(Biodiversity!C13=Data!$E$5,Data!$G$5,IF(Biodiversity!C13=Data!$E$6,Data!$G$6,IF(Biodiversity!C13=Data!$E$7,Data!$G$7,IF(Biodiversity!C13=Data!$E$8,Data!$G$8,IF(Biodiversity!C13=Data!$E$9,Data!$G$9,IF(Biodiversity!C13=Data!$E$10,Data!$G$10,IF(Biodiversity!C13=Data!$E$11,Data!$G$11,IF(Biodiversity!C13=Data!$E$12,Data!$G$12,IF(Biodiversity!C13=Data!$E$13,Data!$G$13,IF(Biodiversity!C13=Data!$E$14,Data!$G$14,IF(Biodiversity!C13=Data!$E$15,Data!$G$15,IF(Biodiversity!C13=Data!$E$16,Data!$G$16,IF(Biodiversity!C13=Data!$E$17,Data!$G$17,IF(Biodiversity!C13=Data!$E$18,Data!$G$18,IF(Biodiversity!C13=Data!$E$19,Data!$G$19,IF(Biodiversity!C13=Data!$E$20,Data!$G$20,IF(Biodiversity!C13=Data!$E$21,Data!$G$21,"")))))))))))))))))))</f>
        <v>?</v>
      </c>
      <c r="L13" s="16" t="str">
        <f>IF(E13=Data!$E$3,"?",IF(Biodiversity!E13=Data!$E$4,Data!$G$4,IF(Biodiversity!E13=Data!$E$5,Data!$G$5,IF(Biodiversity!E13=Data!$E$6,Data!$G$6,IF(Biodiversity!E13=Data!$E$7,Data!$G$7,IF(Biodiversity!E13=Data!$E$8,Data!$G$8,IF(Biodiversity!E13=Data!$E$9,Data!$G$9,IF(Biodiversity!E13=Data!$E$10,Data!$G$10,IF(Biodiversity!E13=Data!$E$11,Data!$G$11,IF(Biodiversity!E13=Data!$E$12,Data!$G$12,IF(Biodiversity!E13=Data!$E$13,Data!$G$13,IF(Biodiversity!E13=Data!$E$14,Data!$G$14,IF(Biodiversity!E13=Data!$E$15,Data!$G$15,IF(Biodiversity!E13=Data!$E$16,Data!$G$16,IF(Biodiversity!E13=Data!$E$17,Data!$G$17,IF(Biodiversity!E13=Data!$E$18,Data!$G$18,IF(Biodiversity!E13=Data!$E$19,Data!$G$19,IF(Biodiversity!E13=Data!$E$20,Data!$G$20,IF(Biodiversity!E13=Data!$E$21,Data!$G$21,"")))))))))))))))))))</f>
        <v>?</v>
      </c>
      <c r="M13" s="16" t="str">
        <f t="shared" si="0"/>
        <v>?</v>
      </c>
      <c r="N13" s="16" t="str">
        <f t="shared" si="1"/>
        <v>?</v>
      </c>
      <c r="O13" s="15" t="str">
        <f>IF(AA13="","?",IF(AB13=1,AH$11,IF(AB13=2,AH$12, IF(AB13=3,AH$13, IF(AB13=4,AH$14, IF(AB13=5,AH$15, IF(AB13=6,AH$16, IF(AB13=7,AH$17, IF(AB13=8,AH$18, IF(AB13=9,AH$19, IF(AB13=10,AH$20, IF(AB13=11,AH$21, IF(AB13=12,AH$22, IF(AB13=13,AH$23, IF(AB13=14,AH$24, IF(AB13=15,AH$25, IF(AB13=16,AH$26, IF(AB13=17,AH$27, IF(AB13=18,AH$28, IF(AB13=19,AH$29, IF(AB13=20,AH$30, IF(AB13=21,AH$31, IF(AB13=22,AH$32, IF(AB13=23,AH$33, IF(AB13=24,AH$34, IF(AB13=25,AH$35, IF(AB13=26,AH$36, IF(AB13=27,AH$37, IF(AB13=28,AH$38, IF(AB13=29,AH$39, IF(AB13=30,AH$40, IF(AB13="?",1,"?"))))))))))))))))))))))))))))))))</f>
        <v>?</v>
      </c>
      <c r="P13" s="15" t="str">
        <f t="shared" si="3"/>
        <v>?</v>
      </c>
      <c r="Q13" s="7"/>
      <c r="R13" s="26" t="str">
        <f>IFERROR(IF(AA13="A",K13,Biodiversity!K13*Biodiversity!M13*O13),"?")</f>
        <v>?</v>
      </c>
      <c r="S13" s="16" t="str">
        <f>IFERROR(IF(AC13="A",L13,Biodiversity!L13*Biodiversity!N13*P13),"?")</f>
        <v>?</v>
      </c>
      <c r="U13" s="15">
        <f t="shared" si="4"/>
        <v>0</v>
      </c>
      <c r="V13" s="15">
        <f t="shared" si="5"/>
        <v>0</v>
      </c>
      <c r="W13" s="15"/>
      <c r="X13" s="15">
        <f>'Biodiversity Assessment'!CH20</f>
        <v>0</v>
      </c>
      <c r="Y13" s="15">
        <f>'Biodiversity Assessment'!CJ20</f>
        <v>0</v>
      </c>
      <c r="Z13" s="15"/>
      <c r="AA13" s="15" t="str">
        <f>'Biodiversity Assessment'!J20</f>
        <v/>
      </c>
      <c r="AB13" s="67" t="str">
        <f>'Biodiversity Assessment'!K20</f>
        <v>?</v>
      </c>
      <c r="AC13" s="15" t="str">
        <f>'Biodiversity Assessment'!R20</f>
        <v/>
      </c>
      <c r="AD13" s="67" t="str">
        <f>'Biodiversity Assessment'!S20</f>
        <v>?</v>
      </c>
      <c r="AF13" s="58" t="s">
        <v>427</v>
      </c>
      <c r="AG13" s="46">
        <f>IF(AB11=3,D11,0)+ IF(AB12=3,D12,0)+ IF(AB13=3,D13,0)+ IF(AB14=3,D14,0)+ IF(AB15=3,D15,0)+ IF(AB16=3,D16,0)+ IF(AB17=3,D17,0)+ IF(AB18=3,D18,0)+ IF(AB19=3,D19,0)+ IF(AB20=3,D20,0)+ IF(AB21=3,D21,0)+ IF(AB22=3,D22,0)+ IF(AB23=3,D23,0)+ IF(AB24=3,D24,0)+ IF(AB25=3,D25,0)+ IF(AB26=3,D26,0)+ IF(AB27=3,D27,0)+ IF(AB28=3,D28,0)+ IF(AB29=3,D29,0)+ IF(AB30=3,D30,0)+ IF(AB31=3,D31,0)+ IF(AB32=3,D32,0)+ IF(AB33=3,D33,0)+ IF(AB34=3,D34,0)+ IF(AB35=3,D35,0)+ IF(AB36=3,D36,0)+ IF(AB37=3,D37,0)+ IF(AB38=3,D38,0)+ IF(AB39=3,D39,0)+ IF(AB40=3,D40,0)</f>
        <v>0</v>
      </c>
      <c r="AH13" s="62">
        <f>IF(AND(AG13&gt;=0,AG13&lt;100),AG13*Data!$L$18+Data!$L$11,IF(AND(AG13&gt;=100,AG13&lt;1000),AG13*Data!$L$19+Data!$L$12,IF(AND(AG13&gt;=1000,AG13&lt;10000),AG13*Data!$L$20+Data!$L$13,IF(AND(AG13&gt;=10000,AG13&lt;100000),AG13*Data!$L$21+Data!$L$14,IF(AND(AG13&gt;=100000,AG13&lt;1000000),AG13*Data!$L$22+Data!$L$15,IF(AG13&gt;=1000000,1,"?"))))))</f>
        <v>0.35</v>
      </c>
      <c r="AI13" s="76">
        <f t="shared" si="6"/>
        <v>0</v>
      </c>
      <c r="AJ13" s="66">
        <f>IF(AD11=3,F11,0)+ IF(AD12=3,F12,0)+ IF(AD13=3,F13,0)+ IF(AD14=3,F14,0)+ IF(AD15=3,F15,0)+ IF(AD16=3,F16,0)+ IF(AD17=3,F17,0)+ IF(AD18=3,F18,0)+ IF(AD19=3,F19,0)+ IF(AD20=3,F20,0)+ IF(AD21=3,F21,0)+ IF(AD22=3,F22,0)+ IF(AD23=3,F23,0)+ IF(AD24=3,F24,0)+ IF(AD25=3,F25,0)+ IF(AD26=3,F26,0)+ IF(AD27=3,F27,0)+ IF(AD28=3,F28,0)+ IF(AD29=3,F29,0)+ IF(AD30=3,F30,0)+ IF(AD31=3,F31,0)+ IF(AD32=3,F32,0)+ IF(AD33=3,F33,0)+ IF(AD34=3,F34,0)+ IF(AD35=3,F35,0)+ IF(AD36=3,F36,0)+ IF(AD37=3,F37,0)+ IF(AD38=3,F38,0)+ IF(AD39=3,F39,0)+ IF(AD40=3,F40,0)</f>
        <v>0</v>
      </c>
      <c r="AK13" s="66">
        <f>IF(AND(AJ13&gt;=0,AJ13&lt;100),AJ13*Data!$L$18+Data!$L$11,IF(AND(AJ13&gt;=100,AJ13&lt;1000),AJ13*Data!$L$19+Data!$L$12,IF(AND(AJ13&gt;=1000,AJ13&lt;10000),AJ13*Data!$L$20+Data!$L$13,IF(AND(AJ13&gt;=10000,AJ13&lt;100000),AJ13*Data!$L$21+Data!$L$14,IF(AND(AJ13&gt;=100000,AJ13&lt;1000000),AJ13*Data!$L$22+Data!$L$15,IF(AJ13&gt;=1000000,1,"?"))))))</f>
        <v>0.35</v>
      </c>
      <c r="AL13" s="3">
        <f t="shared" si="7"/>
        <v>0</v>
      </c>
    </row>
    <row r="14" spans="1:38" ht="14.5" x14ac:dyDescent="0.25">
      <c r="A14" s="7"/>
      <c r="B14" s="7" t="s">
        <v>53</v>
      </c>
      <c r="C14" s="7" t="str">
        <f>'Biodiversity Assessment'!G21</f>
        <v>Select land use</v>
      </c>
      <c r="D14" s="7">
        <f>'Biodiversity Assessment'!M21</f>
        <v>0</v>
      </c>
      <c r="E14" s="7" t="str">
        <f>'Biodiversity Assessment'!O21</f>
        <v>Select land use</v>
      </c>
      <c r="F14" s="54">
        <f>'Biodiversity Assessment'!U21</f>
        <v>0</v>
      </c>
      <c r="G14" s="27"/>
      <c r="H14" s="27"/>
      <c r="I14" s="27">
        <f>'Biodiversity Assessment'!BD21</f>
        <v>0</v>
      </c>
      <c r="J14" s="27">
        <f>'Biodiversity Assessment'!BF21</f>
        <v>0</v>
      </c>
      <c r="K14" s="16" t="str">
        <f>IF(C14=Data!$E$3,"?",IF(Biodiversity!C14=Data!$E$4,Data!$G$4,IF(Biodiversity!C14=Data!$E$5,Data!$G$5,IF(Biodiversity!C14=Data!$E$6,Data!$G$6,IF(Biodiversity!C14=Data!$E$7,Data!$G$7,IF(Biodiversity!C14=Data!$E$8,Data!$G$8,IF(Biodiversity!C14=Data!$E$9,Data!$G$9,IF(Biodiversity!C14=Data!$E$10,Data!$G$10,IF(Biodiversity!C14=Data!$E$11,Data!$G$11,IF(Biodiversity!C14=Data!$E$12,Data!$G$12,IF(Biodiversity!C14=Data!$E$13,Data!$G$13,IF(Biodiversity!C14=Data!$E$14,Data!$G$14,IF(Biodiversity!C14=Data!$E$15,Data!$G$15,IF(Biodiversity!C14=Data!$E$16,Data!$G$16,IF(Biodiversity!C14=Data!$E$17,Data!$G$17,IF(Biodiversity!C14=Data!$E$18,Data!$G$18,IF(Biodiversity!C14=Data!$E$19,Data!$G$19,IF(Biodiversity!C14=Data!$E$20,Data!$G$20,IF(Biodiversity!C14=Data!$E$21,Data!$G$21,"")))))))))))))))))))</f>
        <v>?</v>
      </c>
      <c r="L14" s="16" t="str">
        <f>IF(E14=Data!$E$3,"?",IF(Biodiversity!E14=Data!$E$4,Data!$G$4,IF(Biodiversity!E14=Data!$E$5,Data!$G$5,IF(Biodiversity!E14=Data!$E$6,Data!$G$6,IF(Biodiversity!E14=Data!$E$7,Data!$G$7,IF(Biodiversity!E14=Data!$E$8,Data!$G$8,IF(Biodiversity!E14=Data!$E$9,Data!$G$9,IF(Biodiversity!E14=Data!$E$10,Data!$G$10,IF(Biodiversity!E14=Data!$E$11,Data!$G$11,IF(Biodiversity!E14=Data!$E$12,Data!$G$12,IF(Biodiversity!E14=Data!$E$13,Data!$G$13,IF(Biodiversity!E14=Data!$E$14,Data!$G$14,IF(Biodiversity!E14=Data!$E$15,Data!$G$15,IF(Biodiversity!E14=Data!$E$16,Data!$G$16,IF(Biodiversity!E14=Data!$E$17,Data!$G$17,IF(Biodiversity!E14=Data!$E$18,Data!$G$18,IF(Biodiversity!E14=Data!$E$19,Data!$G$19,IF(Biodiversity!E14=Data!$E$20,Data!$G$20,IF(Biodiversity!E14=Data!$E$21,Data!$G$21,"")))))))))))))))))))</f>
        <v>?</v>
      </c>
      <c r="M14" s="16" t="str">
        <f t="shared" si="0"/>
        <v>?</v>
      </c>
      <c r="N14" s="16" t="str">
        <f t="shared" si="1"/>
        <v>?</v>
      </c>
      <c r="O14" s="15" t="str">
        <f t="shared" si="2"/>
        <v>?</v>
      </c>
      <c r="P14" s="15" t="str">
        <f t="shared" si="3"/>
        <v>?</v>
      </c>
      <c r="Q14" s="7"/>
      <c r="R14" s="26" t="str">
        <f>IFERROR(IF(AA14="A",K14,Biodiversity!K14*Biodiversity!M14*O14),"?")</f>
        <v>?</v>
      </c>
      <c r="S14" s="16" t="str">
        <f>IFERROR(IF(AC14="A",L14,Biodiversity!L14*Biodiversity!N14*P14),"?")</f>
        <v>?</v>
      </c>
      <c r="U14" s="15">
        <f t="shared" si="4"/>
        <v>0</v>
      </c>
      <c r="V14" s="15">
        <f t="shared" si="5"/>
        <v>0</v>
      </c>
      <c r="W14" s="15"/>
      <c r="X14" s="15">
        <f>'Biodiversity Assessment'!CH21</f>
        <v>0</v>
      </c>
      <c r="Y14" s="15">
        <f>'Biodiversity Assessment'!CJ21</f>
        <v>0</v>
      </c>
      <c r="Z14" s="15"/>
      <c r="AA14" s="15" t="str">
        <f>'Biodiversity Assessment'!J21</f>
        <v/>
      </c>
      <c r="AB14" s="67" t="str">
        <f>'Biodiversity Assessment'!K21</f>
        <v>?</v>
      </c>
      <c r="AC14" s="15" t="str">
        <f>'Biodiversity Assessment'!R21</f>
        <v/>
      </c>
      <c r="AD14" s="67" t="str">
        <f>'Biodiversity Assessment'!S21</f>
        <v>?</v>
      </c>
      <c r="AF14" s="58" t="s">
        <v>428</v>
      </c>
      <c r="AG14" s="46">
        <f>IF(AB11=4,D11,0)+ IF(AB12=4,D12,0)+ IF(AB13=4,D13,0)+ IF(AB14=4,D14,0)+ IF(AB15=4,D15,0)+ IF(AB16=4,D16,0)+ IF(AB17=4,D17,0)+ IF(AB18=4,D18,0)+ IF(AB19=4,D19,0)+ IF(AB20=4,D20,0)+ IF(AB21=4,D21,0)+ IF(AB22=4,D22,0)+ IF(AB23=4,D23,0)+ IF(AB24=4,D24,0)+ IF(AB25=4,D25,0)+ IF(AB26=4,D26,0)+ IF(AB27=4,D27,0)+ IF(AB28=4,D28,0)+ IF(AB29=4,D29,0)+ IF(AB30=4,D30,0)+ IF(AB31=4,D31,0)+ IF(AB32=4,D32,0)+ IF(AB33=4,D33,0)+ IF(AB34=4,D34,0)+ IF(AB35=4,D35,0)+ IF(AB36=4,D36,0)+ IF(AB37=4,D37,0)+ IF(AB38=4,D38,0)+ IF(AB39=4,D39,0)+ IF(AB40=4,D40,0)</f>
        <v>0</v>
      </c>
      <c r="AH14" s="62">
        <f>IF(AND(AG14&gt;=0,AG14&lt;100),AG14*Data!$L$18+Data!$L$11,IF(AND(AG14&gt;=100,AG14&lt;1000),AG14*Data!$L$19+Data!$L$12,IF(AND(AG14&gt;=1000,AG14&lt;10000),AG14*Data!$L$20+Data!$L$13,IF(AND(AG14&gt;=10000,AG14&lt;100000),AG14*Data!$L$21+Data!$L$14,IF(AND(AG14&gt;=100000,AG14&lt;1000000),AG14*Data!$L$22+Data!$L$15,IF(AG14&gt;=1000000,1,"?"))))))</f>
        <v>0.35</v>
      </c>
      <c r="AI14" s="76">
        <f t="shared" si="6"/>
        <v>0</v>
      </c>
      <c r="AJ14" s="66">
        <f>IF(AD11=4,F11,0)+ IF(AD12=4,F12,0)+ IF(AD13=4,F13,0)+ IF(AD14=4,F14,0)+ IF(AD15=4,F15,0)+ IF(AD16=4,F16,0)+ IF(AD17=4,F17,0)+ IF(AD18=4,F18,0)+ IF(AD19=4,F19,0)+ IF(AD20=4,F20,0)+ IF(AD21=4,F21,0)+ IF(AD22=4,F22,0)+ IF(AD23=4,F23,0)+ IF(AD24=4,F24,0)+ IF(AD25=4,F25,0)+ IF(AD26=4,F26,0)+ IF(AD27=4,F27,0)+ IF(AD28=4,F28,0)+ IF(AD29=4,F29,0)+ IF(AD30=4,F30,0)+ IF(AD31=4,F31,0)+ IF(AD32=4,F32,0)+ IF(AD33=4,F33,0)+ IF(AD34=4,F34,0)+ IF(AD35=4,F35,0)+ IF(AD36=4,F36,0)+ IF(AD37=4,F37,0)+ IF(AD38=4,F38,0)+ IF(AD39=4,F39,0)+ IF(AD40=4,F40,0)</f>
        <v>0</v>
      </c>
      <c r="AK14" s="66">
        <f>IF(AND(AJ14&gt;=0,AJ14&lt;100),AJ14*Data!$L$18+Data!$L$11,IF(AND(AJ14&gt;=100,AJ14&lt;1000),AJ14*Data!$L$19+Data!$L$12,IF(AND(AJ14&gt;=1000,AJ14&lt;10000),AJ14*Data!$L$20+Data!$L$13,IF(AND(AJ14&gt;=10000,AJ14&lt;100000),AJ14*Data!$L$21+Data!$L$14,IF(AND(AJ14&gt;=100000,AJ14&lt;1000000),AJ14*Data!$L$22+Data!$L$15,IF(AJ14&gt;=1000000,1,"?"))))))</f>
        <v>0.35</v>
      </c>
      <c r="AL14" s="3">
        <f t="shared" si="7"/>
        <v>0</v>
      </c>
    </row>
    <row r="15" spans="1:38" ht="14.5" x14ac:dyDescent="0.25">
      <c r="A15" s="7"/>
      <c r="B15" s="7" t="s">
        <v>54</v>
      </c>
      <c r="C15" s="7" t="str">
        <f>'Biodiversity Assessment'!G22</f>
        <v>Select land use</v>
      </c>
      <c r="D15" s="7">
        <f>'Biodiversity Assessment'!M22</f>
        <v>0</v>
      </c>
      <c r="E15" s="7" t="str">
        <f>'Biodiversity Assessment'!O22</f>
        <v>Select land use</v>
      </c>
      <c r="F15" s="54">
        <f>'Biodiversity Assessment'!U22</f>
        <v>0</v>
      </c>
      <c r="G15" s="27"/>
      <c r="H15" s="27"/>
      <c r="I15" s="27">
        <f>'Biodiversity Assessment'!BD22</f>
        <v>0</v>
      </c>
      <c r="J15" s="27">
        <f>'Biodiversity Assessment'!BF22</f>
        <v>0</v>
      </c>
      <c r="K15" s="16" t="str">
        <f>IF(C15=Data!$E$3,"?",IF(Biodiversity!C15=Data!$E$4,Data!$G$4,IF(Biodiversity!C15=Data!$E$5,Data!$G$5,IF(Biodiversity!C15=Data!$E$6,Data!$G$6,IF(Biodiversity!C15=Data!$E$7,Data!$G$7,IF(Biodiversity!C15=Data!$E$8,Data!$G$8,IF(Biodiversity!C15=Data!$E$9,Data!$G$9,IF(Biodiversity!C15=Data!$E$10,Data!$G$10,IF(Biodiversity!C15=Data!$E$11,Data!$G$11,IF(Biodiversity!C15=Data!$E$12,Data!$G$12,IF(Biodiversity!C15=Data!$E$13,Data!$G$13,IF(Biodiversity!C15=Data!$E$14,Data!$G$14,IF(Biodiversity!C15=Data!$E$15,Data!$G$15,IF(Biodiversity!C15=Data!$E$16,Data!$G$16,IF(Biodiversity!C15=Data!$E$17,Data!$G$17,IF(Biodiversity!C15=Data!$E$18,Data!$G$18,IF(Biodiversity!C15=Data!$E$19,Data!$G$19,IF(Biodiversity!C15=Data!$E$20,Data!$G$20,IF(Biodiversity!C15=Data!$E$21,Data!$G$21,"")))))))))))))))))))</f>
        <v>?</v>
      </c>
      <c r="L15" s="16" t="str">
        <f>IF(E15=Data!$E$3,"?",IF(Biodiversity!E15=Data!$E$4,Data!$G$4,IF(Biodiversity!E15=Data!$E$5,Data!$G$5,IF(Biodiversity!E15=Data!$E$6,Data!$G$6,IF(Biodiversity!E15=Data!$E$7,Data!$G$7,IF(Biodiversity!E15=Data!$E$8,Data!$G$8,IF(Biodiversity!E15=Data!$E$9,Data!$G$9,IF(Biodiversity!E15=Data!$E$10,Data!$G$10,IF(Biodiversity!E15=Data!$E$11,Data!$G$11,IF(Biodiversity!E15=Data!$E$12,Data!$G$12,IF(Biodiversity!E15=Data!$E$13,Data!$G$13,IF(Biodiversity!E15=Data!$E$14,Data!$G$14,IF(Biodiversity!E15=Data!$E$15,Data!$G$15,IF(Biodiversity!E15=Data!$E$16,Data!$G$16,IF(Biodiversity!E15=Data!$E$17,Data!$G$17,IF(Biodiversity!E15=Data!$E$18,Data!$G$18,IF(Biodiversity!E15=Data!$E$19,Data!$G$19,IF(Biodiversity!E15=Data!$E$20,Data!$G$20,IF(Biodiversity!E15=Data!$E$21,Data!$G$21,"")))))))))))))))))))</f>
        <v>?</v>
      </c>
      <c r="M15" s="16" t="str">
        <f t="shared" si="0"/>
        <v>?</v>
      </c>
      <c r="N15" s="16" t="str">
        <f t="shared" si="1"/>
        <v>?</v>
      </c>
      <c r="O15" s="15" t="str">
        <f t="shared" si="2"/>
        <v>?</v>
      </c>
      <c r="P15" s="15" t="str">
        <f t="shared" si="3"/>
        <v>?</v>
      </c>
      <c r="Q15" s="7"/>
      <c r="R15" s="26" t="str">
        <f>IFERROR(IF(AA15="A",K15,Biodiversity!K15*Biodiversity!M15*O15),"?")</f>
        <v>?</v>
      </c>
      <c r="S15" s="16" t="str">
        <f>IFERROR(IF(AC15="A",L15,Biodiversity!L15*Biodiversity!N15*P15),"?")</f>
        <v>?</v>
      </c>
      <c r="U15" s="15">
        <f t="shared" si="4"/>
        <v>0</v>
      </c>
      <c r="V15" s="15">
        <f t="shared" si="5"/>
        <v>0</v>
      </c>
      <c r="W15" s="15"/>
      <c r="X15" s="15">
        <f>'Biodiversity Assessment'!CH22</f>
        <v>0</v>
      </c>
      <c r="Y15" s="15">
        <f>'Biodiversity Assessment'!CJ22</f>
        <v>0</v>
      </c>
      <c r="Z15" s="15"/>
      <c r="AA15" s="15" t="str">
        <f>'Biodiversity Assessment'!J22</f>
        <v/>
      </c>
      <c r="AB15" s="67" t="str">
        <f>'Biodiversity Assessment'!K22</f>
        <v>?</v>
      </c>
      <c r="AC15" s="15" t="str">
        <f>'Biodiversity Assessment'!R22</f>
        <v/>
      </c>
      <c r="AD15" s="67" t="str">
        <f>'Biodiversity Assessment'!S22</f>
        <v>?</v>
      </c>
      <c r="AF15" s="58" t="s">
        <v>429</v>
      </c>
      <c r="AG15" s="46">
        <f>IF(AB11=5,D11,0)+ IF(AB12=5,D12,0)+ IF(AB13=5,D13,0)+ IF(AB14=5,D14,0)+ IF(AB15=5,D15,0)+ IF(AB16=5,D16,0)+ IF(AB17=5,D17,0)+ IF(AB18=5,D18,0)+ IF(AB19=5,D19,0)+ IF(AB20=5,D20,0)+ IF(AB21=5,D21,0)+ IF(AB22=5,D22,0)+ IF(AB23=5,D23,0)+ IF(AB24=5,D24,0)+ IF(AB25=5,D25,0)+ IF(AB26=5,D26,0)+ IF(AB27=5,D27,0)+ IF(AB28=5,D28,0)+ IF(AB29=5,D29,0)+ IF(AB30=5,D30,0)+ IF(AB31=5,D31,0)+ IF(AB32=5,D32,0)+ IF(AB33=5,D33,0)+ IF(AB34=5,D34,0)+ IF(AB35=5,D35,0)+ IF(AB36=5,D36,0)+ IF(AB37=5,D37,0)+ IF(AB38=5,D38,0)+ IF(AB39=5,D39,0)+ IF(AB40=5,D40,0)</f>
        <v>0</v>
      </c>
      <c r="AH15" s="62">
        <f>IF(AND(AG15&gt;=0,AG15&lt;100),AG15*Data!$L$18+Data!$L$11,IF(AND(AG15&gt;=100,AG15&lt;1000),AG15*Data!$L$19+Data!$L$12,IF(AND(AG15&gt;=1000,AG15&lt;10000),AG15*Data!$L$20+Data!$L$13,IF(AND(AG15&gt;=10000,AG15&lt;100000),AG15*Data!$L$21+Data!$L$14,IF(AND(AG15&gt;=100000,AG15&lt;1000000),AG15*Data!$L$22+Data!$L$15,IF(AG15&gt;=1000000,1,"?"))))))</f>
        <v>0.35</v>
      </c>
      <c r="AI15" s="76">
        <f t="shared" si="6"/>
        <v>0</v>
      </c>
      <c r="AJ15" s="66">
        <f>IF(AD11=5,F11,0)+ IF(AD12=5,F12,0)+ IF(AD13=5,F13,0)+ IF(AD14=5,F14,0)+ IF(AD15=5,F15,0)+ IF(AD16=5,F16,0)+ IF(AD17=5,F17,0)+ IF(AD18=5,F18,0)+ IF(AD19=5,F19,0)+ IF(AD20=5,F20,0)+ IF(AD21=5,F21,0)+ IF(AD22=5,F22,0)+ IF(AD23=5,F23,0)+ IF(AD24=5,F24,0)+ IF(AD25=5,F25,0)+ IF(AD26=5,F26,0)+ IF(AD27=5,F27,0)+ IF(AD28=5,F28,0)+ IF(AD29=5,F29,0)+ IF(AD30=5,F30,0)+ IF(AD31=5,F31,0)+ IF(AD32=5,F32,0)+ IF(AD33=5,F33,0)+ IF(AD34=5,F34,0)+ IF(AD35=5,F35,0)+ IF(AD36=5,F36,0)+ IF(AD37=5,F37,0)+ IF(AD38=5,F38,0)+ IF(AD39=5,F39,0)+ IF(AD40=5,F40,0)</f>
        <v>0</v>
      </c>
      <c r="AK15" s="66">
        <f>IF(AND(AJ15&gt;=0,AJ15&lt;100),AJ15*Data!$L$18+Data!$L$11,IF(AND(AJ15&gt;=100,AJ15&lt;1000),AJ15*Data!$L$19+Data!$L$12,IF(AND(AJ15&gt;=1000,AJ15&lt;10000),AJ15*Data!$L$20+Data!$L$13,IF(AND(AJ15&gt;=10000,AJ15&lt;100000),AJ15*Data!$L$21+Data!$L$14,IF(AND(AJ15&gt;=100000,AJ15&lt;1000000),AJ15*Data!$L$22+Data!$L$15,IF(AJ15&gt;=1000000,1,"?"))))))</f>
        <v>0.35</v>
      </c>
      <c r="AL15" s="3">
        <f t="shared" si="7"/>
        <v>0</v>
      </c>
    </row>
    <row r="16" spans="1:38" ht="14.5" x14ac:dyDescent="0.25">
      <c r="A16" s="7"/>
      <c r="B16" s="7" t="s">
        <v>55</v>
      </c>
      <c r="C16" s="7" t="str">
        <f>'Biodiversity Assessment'!G23</f>
        <v>Select land use</v>
      </c>
      <c r="D16" s="7">
        <f>'Biodiversity Assessment'!M23</f>
        <v>0</v>
      </c>
      <c r="E16" s="7" t="str">
        <f>'Biodiversity Assessment'!O23</f>
        <v>Select land use</v>
      </c>
      <c r="F16" s="54">
        <f>'Biodiversity Assessment'!U23</f>
        <v>0</v>
      </c>
      <c r="G16" s="27"/>
      <c r="H16" s="27"/>
      <c r="I16" s="27">
        <f>'Biodiversity Assessment'!BD23</f>
        <v>0</v>
      </c>
      <c r="J16" s="27">
        <f>'Biodiversity Assessment'!BF23</f>
        <v>0</v>
      </c>
      <c r="K16" s="16" t="str">
        <f>IF(C16=Data!$E$3,"?",IF(Biodiversity!C16=Data!$E$4,Data!$G$4,IF(Biodiversity!C16=Data!$E$5,Data!$G$5,IF(Biodiversity!C16=Data!$E$6,Data!$G$6,IF(Biodiversity!C16=Data!$E$7,Data!$G$7,IF(Biodiversity!C16=Data!$E$8,Data!$G$8,IF(Biodiversity!C16=Data!$E$9,Data!$G$9,IF(Biodiversity!C16=Data!$E$10,Data!$G$10,IF(Biodiversity!C16=Data!$E$11,Data!$G$11,IF(Biodiversity!C16=Data!$E$12,Data!$G$12,IF(Biodiversity!C16=Data!$E$13,Data!$G$13,IF(Biodiversity!C16=Data!$E$14,Data!$G$14,IF(Biodiversity!C16=Data!$E$15,Data!$G$15,IF(Biodiversity!C16=Data!$E$16,Data!$G$16,IF(Biodiversity!C16=Data!$E$17,Data!$G$17,IF(Biodiversity!C16=Data!$E$18,Data!$G$18,IF(Biodiversity!C16=Data!$E$19,Data!$G$19,IF(Biodiversity!C16=Data!$E$20,Data!$G$20,IF(Biodiversity!C16=Data!$E$21,Data!$G$21,"")))))))))))))))))))</f>
        <v>?</v>
      </c>
      <c r="L16" s="16" t="str">
        <f>IF(E16=Data!$E$3,"?",IF(Biodiversity!E16=Data!$E$4,Data!$G$4,IF(Biodiversity!E16=Data!$E$5,Data!$G$5,IF(Biodiversity!E16=Data!$E$6,Data!$G$6,IF(Biodiversity!E16=Data!$E$7,Data!$G$7,IF(Biodiversity!E16=Data!$E$8,Data!$G$8,IF(Biodiversity!E16=Data!$E$9,Data!$G$9,IF(Biodiversity!E16=Data!$E$10,Data!$G$10,IF(Biodiversity!E16=Data!$E$11,Data!$G$11,IF(Biodiversity!E16=Data!$E$12,Data!$G$12,IF(Biodiversity!E16=Data!$E$13,Data!$G$13,IF(Biodiversity!E16=Data!$E$14,Data!$G$14,IF(Biodiversity!E16=Data!$E$15,Data!$G$15,IF(Biodiversity!E16=Data!$E$16,Data!$G$16,IF(Biodiversity!E16=Data!$E$17,Data!$G$17,IF(Biodiversity!E16=Data!$E$18,Data!$G$18,IF(Biodiversity!E16=Data!$E$19,Data!$G$19,IF(Biodiversity!E16=Data!$E$20,Data!$G$20,IF(Biodiversity!E16=Data!$E$21,Data!$G$21,"")))))))))))))))))))</f>
        <v>?</v>
      </c>
      <c r="M16" s="16" t="str">
        <f t="shared" si="0"/>
        <v>?</v>
      </c>
      <c r="N16" s="16" t="str">
        <f t="shared" si="1"/>
        <v>?</v>
      </c>
      <c r="O16" s="15" t="str">
        <f t="shared" si="2"/>
        <v>?</v>
      </c>
      <c r="P16" s="15" t="str">
        <f t="shared" si="3"/>
        <v>?</v>
      </c>
      <c r="Q16" s="7"/>
      <c r="R16" s="26" t="str">
        <f>IFERROR(IF(AA16="A",K16,Biodiversity!K16*Biodiversity!M16*O16),"?")</f>
        <v>?</v>
      </c>
      <c r="S16" s="16" t="str">
        <f>IFERROR(IF(AC16="A",L16,Biodiversity!L16*Biodiversity!N16*P16),"?")</f>
        <v>?</v>
      </c>
      <c r="U16" s="15">
        <f t="shared" si="4"/>
        <v>0</v>
      </c>
      <c r="V16" s="15">
        <f t="shared" si="5"/>
        <v>0</v>
      </c>
      <c r="W16" s="15"/>
      <c r="X16" s="15">
        <f>'Biodiversity Assessment'!CH23</f>
        <v>0</v>
      </c>
      <c r="Y16" s="15">
        <f>'Biodiversity Assessment'!CJ23</f>
        <v>0</v>
      </c>
      <c r="Z16" s="15"/>
      <c r="AA16" s="15" t="str">
        <f>'Biodiversity Assessment'!J23</f>
        <v/>
      </c>
      <c r="AB16" s="67" t="str">
        <f>'Biodiversity Assessment'!K23</f>
        <v>?</v>
      </c>
      <c r="AC16" s="15" t="str">
        <f>'Biodiversity Assessment'!R23</f>
        <v/>
      </c>
      <c r="AD16" s="67" t="str">
        <f>'Biodiversity Assessment'!S23</f>
        <v>?</v>
      </c>
      <c r="AF16" s="58" t="s">
        <v>430</v>
      </c>
      <c r="AG16" s="46">
        <f>IF(AB11=6,D11,0)+ IF(AB12=6,D12,0)+ IF(AB13=6,D13,0)+ IF(AB14=6,D14,0)+ IF(AB15=6,D15,0)+ IF(AB16=6,D16,0)+ IF(AB17=6,D17,0)+ IF(AB18=6,D18,0)+ IF(AB19=6,D19,0)+ IF(AB20=6,D20,0)+ IF(AB21=6,D21,0)+ IF(AB22=6,D22,0)+ IF(AB23=6,D23,0)+ IF(AB24=6,D24,0)+ IF(AB25=6,D25,0)+ IF(AB26=6,D26,0)+ IF(AB27=6,D27,0)+ IF(AB28=6,D28,0)+ IF(AB29=6,D29,0)+ IF(AB30=6,D30,0)+ IF(AB31=6,D31,0)+ IF(AB32=6,D32,0)+ IF(AB33=6,D33,0)+ IF(AB34=6,D34,0)+ IF(AB35=6,D35,0)+ IF(AB36=6,D36,0)+ IF(AB37=6,D37,0)+ IF(AB38=6,D38,0)+ IF(AB39=6,D39,0)+ IF(AB40=6,D40,0)</f>
        <v>0</v>
      </c>
      <c r="AH16" s="62">
        <f>IF(AND(AG16&gt;=0,AG16&lt;100),AG16*Data!$L$18+Data!$L$11,IF(AND(AG16&gt;=100,AG16&lt;1000),AG16*Data!$L$19+Data!$L$12,IF(AND(AG16&gt;=1000,AG16&lt;10000),AG16*Data!$L$20+Data!$L$13,IF(AND(AG16&gt;=10000,AG16&lt;100000),AG16*Data!$L$21+Data!$L$14,IF(AND(AG16&gt;=100000,AG16&lt;1000000),AG16*Data!$L$22+Data!$L$15,IF(AG16&gt;=1000000,1,"?"))))))</f>
        <v>0.35</v>
      </c>
      <c r="AI16" s="76">
        <f t="shared" si="6"/>
        <v>0</v>
      </c>
      <c r="AJ16" s="66">
        <f>IF(AD11=6,F11,0)+ IF(AD12=6,F12,0)+ IF(AD13=6,F13,0)+ IF(AD14=6,F14,0)+ IF(AD15=6,F15,0)+ IF(AD16=6,F16,0)+ IF(AD17=6,F17,0)+ IF(AD18=6,F18,0)+ IF(AD19=6,F19,0)+ IF(AD20=6,F20,0)+ IF(AD21=6,F21,0)+ IF(AD22=6,F22,0)+ IF(AD23=6,F23,0)+ IF(AD24=6,F24,0)+ IF(AD25=6,F25,0)+ IF(AD26=6,F26,0)+ IF(AD27=6,F27,0)+ IF(AD28=6,F28,0)+ IF(AD29=6,F29,0)+ IF(AD30=6,F30,0)+ IF(AD31=6,F31,0)+ IF(AD32=6,F32,0)+ IF(AD33=6,F33,0)+ IF(AD34=6,F34,0)+ IF(AD35=6,F35,0)+ IF(AD36=6,F36,0)+ IF(AD37=6,F37,0)+ IF(AD38=6,F38,0)+ IF(AD39=6,F39,0)+ IF(AD40=6,F40,0)</f>
        <v>0</v>
      </c>
      <c r="AK16" s="66">
        <f>IF(AND(AJ16&gt;=0,AJ16&lt;100),AJ16*Data!$L$18+Data!$L$11,IF(AND(AJ16&gt;=100,AJ16&lt;1000),AJ16*Data!$L$19+Data!$L$12,IF(AND(AJ16&gt;=1000,AJ16&lt;10000),AJ16*Data!$L$20+Data!$L$13,IF(AND(AJ16&gt;=10000,AJ16&lt;100000),AJ16*Data!$L$21+Data!$L$14,IF(AND(AJ16&gt;=100000,AJ16&lt;1000000),AJ16*Data!$L$22+Data!$L$15,IF(AJ16&gt;=1000000,1,"?"))))))</f>
        <v>0.35</v>
      </c>
      <c r="AL16" s="3">
        <f t="shared" si="7"/>
        <v>0</v>
      </c>
    </row>
    <row r="17" spans="1:38" ht="14.5" x14ac:dyDescent="0.25">
      <c r="A17" s="7"/>
      <c r="B17" s="7" t="s">
        <v>56</v>
      </c>
      <c r="C17" s="7" t="str">
        <f>'Biodiversity Assessment'!G24</f>
        <v>Select land use</v>
      </c>
      <c r="D17" s="7">
        <f>'Biodiversity Assessment'!M24</f>
        <v>0</v>
      </c>
      <c r="E17" s="7" t="str">
        <f>'Biodiversity Assessment'!O24</f>
        <v>Select land use</v>
      </c>
      <c r="F17" s="54">
        <f>'Biodiversity Assessment'!U24</f>
        <v>0</v>
      </c>
      <c r="G17" s="27"/>
      <c r="H17" s="27"/>
      <c r="I17" s="27">
        <f>'Biodiversity Assessment'!BD24</f>
        <v>0</v>
      </c>
      <c r="J17" s="27">
        <f>'Biodiversity Assessment'!BF24</f>
        <v>0</v>
      </c>
      <c r="K17" s="16" t="str">
        <f>IF(C17=Data!$E$3,"?",IF(Biodiversity!C17=Data!$E$4,Data!$G$4,IF(Biodiversity!C17=Data!$E$5,Data!$G$5,IF(Biodiversity!C17=Data!$E$6,Data!$G$6,IF(Biodiversity!C17=Data!$E$7,Data!$G$7,IF(Biodiversity!C17=Data!$E$8,Data!$G$8,IF(Biodiversity!C17=Data!$E$9,Data!$G$9,IF(Biodiversity!C17=Data!$E$10,Data!$G$10,IF(Biodiversity!C17=Data!$E$11,Data!$G$11,IF(Biodiversity!C17=Data!$E$12,Data!$G$12,IF(Biodiversity!C17=Data!$E$13,Data!$G$13,IF(Biodiversity!C17=Data!$E$14,Data!$G$14,IF(Biodiversity!C17=Data!$E$15,Data!$G$15,IF(Biodiversity!C17=Data!$E$16,Data!$G$16,IF(Biodiversity!C17=Data!$E$17,Data!$G$17,IF(Biodiversity!C17=Data!$E$18,Data!$G$18,IF(Biodiversity!C17=Data!$E$19,Data!$G$19,IF(Biodiversity!C17=Data!$E$20,Data!$G$20,IF(Biodiversity!C17=Data!$E$21,Data!$G$21,"")))))))))))))))))))</f>
        <v>?</v>
      </c>
      <c r="L17" s="16" t="str">
        <f>IF(E17=Data!$E$3,"?",IF(Biodiversity!E17=Data!$E$4,Data!$G$4,IF(Biodiversity!E17=Data!$E$5,Data!$G$5,IF(Biodiversity!E17=Data!$E$6,Data!$G$6,IF(Biodiversity!E17=Data!$E$7,Data!$G$7,IF(Biodiversity!E17=Data!$E$8,Data!$G$8,IF(Biodiversity!E17=Data!$E$9,Data!$G$9,IF(Biodiversity!E17=Data!$E$10,Data!$G$10,IF(Biodiversity!E17=Data!$E$11,Data!$G$11,IF(Biodiversity!E17=Data!$E$12,Data!$G$12,IF(Biodiversity!E17=Data!$E$13,Data!$G$13,IF(Biodiversity!E17=Data!$E$14,Data!$G$14,IF(Biodiversity!E17=Data!$E$15,Data!$G$15,IF(Biodiversity!E17=Data!$E$16,Data!$G$16,IF(Biodiversity!E17=Data!$E$17,Data!$G$17,IF(Biodiversity!E17=Data!$E$18,Data!$G$18,IF(Biodiversity!E17=Data!$E$19,Data!$G$19,IF(Biodiversity!E17=Data!$E$20,Data!$G$20,IF(Biodiversity!E17=Data!$E$21,Data!$G$21,"")))))))))))))))))))</f>
        <v>?</v>
      </c>
      <c r="M17" s="16" t="str">
        <f t="shared" si="0"/>
        <v>?</v>
      </c>
      <c r="N17" s="16" t="str">
        <f t="shared" si="1"/>
        <v>?</v>
      </c>
      <c r="O17" s="15" t="str">
        <f t="shared" si="2"/>
        <v>?</v>
      </c>
      <c r="P17" s="15" t="str">
        <f t="shared" si="3"/>
        <v>?</v>
      </c>
      <c r="Q17" s="7"/>
      <c r="R17" s="26" t="str">
        <f>IFERROR(IF(AA17="A",K17,Biodiversity!K17*Biodiversity!M17*O17),"?")</f>
        <v>?</v>
      </c>
      <c r="S17" s="16" t="str">
        <f>IFERROR(IF(AC17="A",L17,Biodiversity!L17*Biodiversity!N17*P17),"?")</f>
        <v>?</v>
      </c>
      <c r="U17" s="15">
        <f t="shared" si="4"/>
        <v>0</v>
      </c>
      <c r="V17" s="15">
        <f t="shared" si="5"/>
        <v>0</v>
      </c>
      <c r="W17" s="15"/>
      <c r="X17" s="15">
        <f>'Biodiversity Assessment'!CH24</f>
        <v>0</v>
      </c>
      <c r="Y17" s="15">
        <f>'Biodiversity Assessment'!CJ24</f>
        <v>0</v>
      </c>
      <c r="Z17" s="15"/>
      <c r="AA17" s="15" t="str">
        <f>'Biodiversity Assessment'!J24</f>
        <v/>
      </c>
      <c r="AB17" s="67" t="str">
        <f>'Biodiversity Assessment'!K24</f>
        <v>?</v>
      </c>
      <c r="AC17" s="15" t="str">
        <f>'Biodiversity Assessment'!R24</f>
        <v/>
      </c>
      <c r="AD17" s="67" t="str">
        <f>'Biodiversity Assessment'!S24</f>
        <v>?</v>
      </c>
      <c r="AF17" s="58" t="s">
        <v>431</v>
      </c>
      <c r="AG17" s="46">
        <f>IF(AB11=7,D11,0)+ IF(AB12=7,D12,0)+ IF(AB13=7,D13,0)+ IF(AB14=7,D14,0)+ IF(AB15=7,D15,0)+ IF(AB16=7,D16,0)+ IF(AB17=7,D17,0)+ IF(AB18=7,D18,0)+ IF(AB19=7,D19,0)+ IF(AB20=7,D20,0)+ IF(AB21=7,D21,0)+ IF(AB22=7,D22,0)+ IF(AB23=7,D23,0)+ IF(AB24=7,D24,0)+ IF(AB25=7,D25,0)+ IF(AB26=7,D26,0)+ IF(AB27=7,D27,0)+ IF(AB28=7,D28,0)+ IF(AB29=7,D29,0)+ IF(AB30=7,D30,0)+ IF(AB31=7,D31,0)+ IF(AB32=7,D32,0)+ IF(AB33=7,D33,0)+ IF(AB34=7,D34,0)+ IF(AB35=7,D35,0)+ IF(AB36=7,D36,0)+ IF(AB37=7,D37,0)+ IF(AB38=7,D38,0)+ IF(AB39=7,D39,0)+ IF(AB40=7,D40,0)</f>
        <v>0</v>
      </c>
      <c r="AH17" s="62">
        <f>IF(AND(AG17&gt;=0,AG17&lt;100),AG17*Data!$L$18+Data!$L$11,IF(AND(AG17&gt;=100,AG17&lt;1000),AG17*Data!$L$19+Data!$L$12,IF(AND(AG17&gt;=1000,AG17&lt;10000),AG17*Data!$L$20+Data!$L$13,IF(AND(AG17&gt;=10000,AG17&lt;100000),AG17*Data!$L$21+Data!$L$14,IF(AND(AG17&gt;=100000,AG17&lt;1000000),AG17*Data!$L$22+Data!$L$15,IF(AG17&gt;=1000000,1,"?"))))))</f>
        <v>0.35</v>
      </c>
      <c r="AI17" s="76">
        <f t="shared" si="6"/>
        <v>0</v>
      </c>
      <c r="AJ17" s="66">
        <f>IF(AD11=7,F11,0)+ IF(AD12=7,F12,0)+ IF(AD13=7,F13,0)+ IF(AD14=7,F14,0)+ IF(AD15=7,F15,0)+ IF(AD16=7,F16,0)+ IF(AD17=7,F17,0)+ IF(AD18=7,F18,0)+ IF(AD19=7,F19,0)+ IF(AD20=7,F20,0)+ IF(AD21=7,F21,0)+ IF(AD22=7,F22,0)+ IF(AD23=7,F23,0)+ IF(AD24=7,F24,0)+ IF(AD25=7,F25,0)+ IF(AD26=7,F26,0)+ IF(AD27=7,F27,0)+ IF(AD28=7,F28,0)+ IF(AD29=7,F29,0)+ IF(AD30=7,F30,0)+ IF(AD31=7,F31,0)+ IF(AD32=7,F32,0)+ IF(AD33=7,F33,0)+ IF(AD34=7,F34,0)+ IF(AD35=7,F35,0)+ IF(AD36=7,F36,0)+ IF(AD37=7,F37,0)+ IF(AD38=7,F38,0)+ IF(AD39=7,F39,0)+ IF(AD40=7,F40,0)</f>
        <v>0</v>
      </c>
      <c r="AK17" s="66">
        <f>IF(AND(AJ17&gt;=0,AJ17&lt;100),AJ17*Data!$L$18+Data!$L$11,IF(AND(AJ17&gt;=100,AJ17&lt;1000),AJ17*Data!$L$19+Data!$L$12,IF(AND(AJ17&gt;=1000,AJ17&lt;10000),AJ17*Data!$L$20+Data!$L$13,IF(AND(AJ17&gt;=10000,AJ17&lt;100000),AJ17*Data!$L$21+Data!$L$14,IF(AND(AJ17&gt;=100000,AJ17&lt;1000000),AJ17*Data!$L$22+Data!$L$15,IF(AJ17&gt;=1000000,1,"?"))))))</f>
        <v>0.35</v>
      </c>
      <c r="AL17" s="3">
        <f t="shared" si="7"/>
        <v>0</v>
      </c>
    </row>
    <row r="18" spans="1:38" ht="14.5" x14ac:dyDescent="0.25">
      <c r="A18" s="7"/>
      <c r="B18" s="7" t="s">
        <v>57</v>
      </c>
      <c r="C18" s="7" t="str">
        <f>'Biodiversity Assessment'!G25</f>
        <v>Select land use</v>
      </c>
      <c r="D18" s="7">
        <f>'Biodiversity Assessment'!M25</f>
        <v>0</v>
      </c>
      <c r="E18" s="7" t="str">
        <f>'Biodiversity Assessment'!O25</f>
        <v>Select land use</v>
      </c>
      <c r="F18" s="54">
        <f>'Biodiversity Assessment'!U25</f>
        <v>0</v>
      </c>
      <c r="G18" s="27"/>
      <c r="H18" s="27"/>
      <c r="I18" s="27">
        <f>'Biodiversity Assessment'!BD25</f>
        <v>0</v>
      </c>
      <c r="J18" s="27">
        <f>'Biodiversity Assessment'!BF25</f>
        <v>0</v>
      </c>
      <c r="K18" s="16" t="str">
        <f>IF(C18=Data!$E$3,"?",IF(Biodiversity!C18=Data!$E$4,Data!$G$4,IF(Biodiversity!C18=Data!$E$5,Data!$G$5,IF(Biodiversity!C18=Data!$E$6,Data!$G$6,IF(Biodiversity!C18=Data!$E$7,Data!$G$7,IF(Biodiversity!C18=Data!$E$8,Data!$G$8,IF(Biodiversity!C18=Data!$E$9,Data!$G$9,IF(Biodiversity!C18=Data!$E$10,Data!$G$10,IF(Biodiversity!C18=Data!$E$11,Data!$G$11,IF(Biodiversity!C18=Data!$E$12,Data!$G$12,IF(Biodiversity!C18=Data!$E$13,Data!$G$13,IF(Biodiversity!C18=Data!$E$14,Data!$G$14,IF(Biodiversity!C18=Data!$E$15,Data!$G$15,IF(Biodiversity!C18=Data!$E$16,Data!$G$16,IF(Biodiversity!C18=Data!$E$17,Data!$G$17,IF(Biodiversity!C18=Data!$E$18,Data!$G$18,IF(Biodiversity!C18=Data!$E$19,Data!$G$19,IF(Biodiversity!C18=Data!$E$20,Data!$G$20,IF(Biodiversity!C18=Data!$E$21,Data!$G$21,"")))))))))))))))))))</f>
        <v>?</v>
      </c>
      <c r="L18" s="16" t="str">
        <f>IF(E18=Data!$E$3,"?",IF(Biodiversity!E18=Data!$E$4,Data!$G$4,IF(Biodiversity!E18=Data!$E$5,Data!$G$5,IF(Biodiversity!E18=Data!$E$6,Data!$G$6,IF(Biodiversity!E18=Data!$E$7,Data!$G$7,IF(Biodiversity!E18=Data!$E$8,Data!$G$8,IF(Biodiversity!E18=Data!$E$9,Data!$G$9,IF(Biodiversity!E18=Data!$E$10,Data!$G$10,IF(Biodiversity!E18=Data!$E$11,Data!$G$11,IF(Biodiversity!E18=Data!$E$12,Data!$G$12,IF(Biodiversity!E18=Data!$E$13,Data!$G$13,IF(Biodiversity!E18=Data!$E$14,Data!$G$14,IF(Biodiversity!E18=Data!$E$15,Data!$G$15,IF(Biodiversity!E18=Data!$E$16,Data!$G$16,IF(Biodiversity!E18=Data!$E$17,Data!$G$17,IF(Biodiversity!E18=Data!$E$18,Data!$G$18,IF(Biodiversity!E18=Data!$E$19,Data!$G$19,IF(Biodiversity!E18=Data!$E$20,Data!$G$20,IF(Biodiversity!E18=Data!$E$21,Data!$G$21,"")))))))))))))))))))</f>
        <v>?</v>
      </c>
      <c r="M18" s="16" t="str">
        <f t="shared" si="0"/>
        <v>?</v>
      </c>
      <c r="N18" s="16" t="str">
        <f t="shared" si="1"/>
        <v>?</v>
      </c>
      <c r="O18" s="15" t="str">
        <f t="shared" si="2"/>
        <v>?</v>
      </c>
      <c r="P18" s="15" t="str">
        <f t="shared" si="3"/>
        <v>?</v>
      </c>
      <c r="Q18" s="7"/>
      <c r="R18" s="26" t="str">
        <f>IFERROR(IF(AA18="A",K18,Biodiversity!K18*Biodiversity!M18*O18),"?")</f>
        <v>?</v>
      </c>
      <c r="S18" s="16" t="str">
        <f>IFERROR(IF(AC18="A",L18,Biodiversity!L18*Biodiversity!N18*P18),"?")</f>
        <v>?</v>
      </c>
      <c r="U18" s="15">
        <f t="shared" si="4"/>
        <v>0</v>
      </c>
      <c r="V18" s="15">
        <f t="shared" si="5"/>
        <v>0</v>
      </c>
      <c r="W18" s="15"/>
      <c r="X18" s="15">
        <f>'Biodiversity Assessment'!CH25</f>
        <v>0</v>
      </c>
      <c r="Y18" s="15">
        <f>'Biodiversity Assessment'!CJ25</f>
        <v>0</v>
      </c>
      <c r="Z18" s="15"/>
      <c r="AA18" s="15" t="str">
        <f>'Biodiversity Assessment'!J25</f>
        <v/>
      </c>
      <c r="AB18" s="67" t="str">
        <f>'Biodiversity Assessment'!K25</f>
        <v>?</v>
      </c>
      <c r="AC18" s="15" t="str">
        <f>'Biodiversity Assessment'!R25</f>
        <v/>
      </c>
      <c r="AD18" s="67" t="str">
        <f>'Biodiversity Assessment'!S25</f>
        <v>?</v>
      </c>
      <c r="AF18" s="58" t="s">
        <v>432</v>
      </c>
      <c r="AG18" s="60">
        <f>IF(AB11=8,D11,0)+ IF(AB12=8,D12,0)+ IF(AB13=8,D13,0)+ IF(AB14=8,D14,0)+ IF(AB15=8,D15,0)+ IF(AB16=8,D16,0)+ IF(AB17=8,D17,0)+ IF(AB18=8,D18,0)+ IF(AB19=8,D19,0)+ IF(AB20=8,D20,0)+ IF(AB21=8,D21,0)+ IF(AB22=8,D22,0)+ IF(AB23=8,D23,0)+ IF(AB24=8,D24,0)+ IF(AB25=8,D25,0)+ IF(AB26=8,D26,0)+ IF(AB27=8,D27,0)+ IF(AB28=8,D28,0)+ IF(AB29=8,D29,0)+ IF(AB30=8,D30,0)+ IF(AB31=8,D31,0)+ IF(AB32=8,D32,0)+ IF(AB33=8,D33,0)+ IF(AB34=8,D34,0)+ IF(AB35=8,D35,0)+ IF(AB36=8,D36,0)+ IF(AB37=8,D37,0)+ IF(AB38=8,D38,0)+ IF(AB39=8,D39,0)+ IF(AB40=8,D40,0)</f>
        <v>0</v>
      </c>
      <c r="AH18" s="62">
        <f>IF(AND(AG18&gt;=0,AG18&lt;100),AG18*Data!$L$18+Data!$L$11,IF(AND(AG18&gt;=100,AG18&lt;1000),AG18*Data!$L$19+Data!$L$12,IF(AND(AG18&gt;=1000,AG18&lt;10000),AG18*Data!$L$20+Data!$L$13,IF(AND(AG18&gt;=10000,AG18&lt;100000),AG18*Data!$L$21+Data!$L$14,IF(AND(AG18&gt;=100000,AG18&lt;1000000),AG18*Data!$L$22+Data!$L$15,IF(AG18&gt;=1000000,1,"?"))))))</f>
        <v>0.35</v>
      </c>
      <c r="AI18" s="76">
        <f t="shared" si="6"/>
        <v>0</v>
      </c>
      <c r="AJ18" s="66">
        <f>IF(AD11=8,F11,0)+ IF(AD12=8,F12,0)+ IF(AD13=8,F13,0)+ IF(AD14=8,F14,0)+ IF(AD15=8,F15,0)+ IF(AD16=8,F16,0)+ IF(AD17=8,F17,0)+ IF(AD18=8,F18,0)+ IF(AD19=8,F19,0)+ IF(AD20=8,F20,0)+ IF(AD21=8,F21,0)+ IF(AD22=8,F22,0)+ IF(AD23=8,F23,0)+ IF(AD24=8,F24,0)+ IF(AD25=8,F25,0)+ IF(AD26=8,F26,0)+ IF(AD27=8,F27,0)+ IF(AD28=8,F28,0)+ IF(AD29=8,F29,0)+ IF(AD30=8,F30,0)+ IF(AD31=8,F31,0)+ IF(AD32=8,F32,0)+ IF(AD33=8,F33,0)+ IF(AD34=8,F34,0)+ IF(AD35=8,F35,0)+ IF(AD36=8,F36,0)+ IF(AD37=8,F37,0)+ IF(AD38=8,F38,0)+ IF(AD39=8,F39,0)+ IF(AD40=8,F40,0)</f>
        <v>0</v>
      </c>
      <c r="AK18" s="66">
        <f>IF(AND(AJ18&gt;=0,AJ18&lt;100),AJ18*Data!$L$18+Data!$L$11,IF(AND(AJ18&gt;=100,AJ18&lt;1000),AJ18*Data!$L$19+Data!$L$12,IF(AND(AJ18&gt;=1000,AJ18&lt;10000),AJ18*Data!$L$20+Data!$L$13,IF(AND(AJ18&gt;=10000,AJ18&lt;100000),AJ18*Data!$L$21+Data!$L$14,IF(AND(AJ18&gt;=100000,AJ18&lt;1000000),AJ18*Data!$L$22+Data!$L$15,IF(AJ18&gt;=1000000,1,"?"))))))</f>
        <v>0.35</v>
      </c>
      <c r="AL18" s="3">
        <f t="shared" si="7"/>
        <v>0</v>
      </c>
    </row>
    <row r="19" spans="1:38" ht="14.5" x14ac:dyDescent="0.25">
      <c r="A19" s="7"/>
      <c r="B19" s="7" t="s">
        <v>58</v>
      </c>
      <c r="C19" s="7" t="str">
        <f>'Biodiversity Assessment'!G26</f>
        <v>Select land use</v>
      </c>
      <c r="D19" s="7">
        <f>'Biodiversity Assessment'!M26</f>
        <v>0</v>
      </c>
      <c r="E19" s="7" t="str">
        <f>'Biodiversity Assessment'!O26</f>
        <v>Select land use</v>
      </c>
      <c r="F19" s="54">
        <f>'Biodiversity Assessment'!U26</f>
        <v>0</v>
      </c>
      <c r="G19" s="27"/>
      <c r="H19" s="27"/>
      <c r="I19" s="27">
        <f>'Biodiversity Assessment'!BD26</f>
        <v>0</v>
      </c>
      <c r="J19" s="27">
        <f>'Biodiversity Assessment'!BF26</f>
        <v>0</v>
      </c>
      <c r="K19" s="16" t="str">
        <f>IF(C19=Data!$E$3,"?",IF(Biodiversity!C19=Data!$E$4,Data!$G$4,IF(Biodiversity!C19=Data!$E$5,Data!$G$5,IF(Biodiversity!C19=Data!$E$6,Data!$G$6,IF(Biodiversity!C19=Data!$E$7,Data!$G$7,IF(Biodiversity!C19=Data!$E$8,Data!$G$8,IF(Biodiversity!C19=Data!$E$9,Data!$G$9,IF(Biodiversity!C19=Data!$E$10,Data!$G$10,IF(Biodiversity!C19=Data!$E$11,Data!$G$11,IF(Biodiversity!C19=Data!$E$12,Data!$G$12,IF(Biodiversity!C19=Data!$E$13,Data!$G$13,IF(Biodiversity!C19=Data!$E$14,Data!$G$14,IF(Biodiversity!C19=Data!$E$15,Data!$G$15,IF(Biodiversity!C19=Data!$E$16,Data!$G$16,IF(Biodiversity!C19=Data!$E$17,Data!$G$17,IF(Biodiversity!C19=Data!$E$18,Data!$G$18,IF(Biodiversity!C19=Data!$E$19,Data!$G$19,IF(Biodiversity!C19=Data!$E$20,Data!$G$20,IF(Biodiversity!C19=Data!$E$21,Data!$G$21,"")))))))))))))))))))</f>
        <v>?</v>
      </c>
      <c r="L19" s="16" t="str">
        <f>IF(E19=Data!$E$3,"?",IF(Biodiversity!E19=Data!$E$4,Data!$G$4,IF(Biodiversity!E19=Data!$E$5,Data!$G$5,IF(Biodiversity!E19=Data!$E$6,Data!$G$6,IF(Biodiversity!E19=Data!$E$7,Data!$G$7,IF(Biodiversity!E19=Data!$E$8,Data!$G$8,IF(Biodiversity!E19=Data!$E$9,Data!$G$9,IF(Biodiversity!E19=Data!$E$10,Data!$G$10,IF(Biodiversity!E19=Data!$E$11,Data!$G$11,IF(Biodiversity!E19=Data!$E$12,Data!$G$12,IF(Biodiversity!E19=Data!$E$13,Data!$G$13,IF(Biodiversity!E19=Data!$E$14,Data!$G$14,IF(Biodiversity!E19=Data!$E$15,Data!$G$15,IF(Biodiversity!E19=Data!$E$16,Data!$G$16,IF(Biodiversity!E19=Data!$E$17,Data!$G$17,IF(Biodiversity!E19=Data!$E$18,Data!$G$18,IF(Biodiversity!E19=Data!$E$19,Data!$G$19,IF(Biodiversity!E19=Data!$E$20,Data!$G$20,IF(Biodiversity!E19=Data!$E$21,Data!$G$21,"")))))))))))))))))))</f>
        <v>?</v>
      </c>
      <c r="M19" s="16" t="str">
        <f t="shared" si="0"/>
        <v>?</v>
      </c>
      <c r="N19" s="16" t="str">
        <f t="shared" si="1"/>
        <v>?</v>
      </c>
      <c r="O19" s="15" t="str">
        <f t="shared" si="2"/>
        <v>?</v>
      </c>
      <c r="P19" s="15" t="str">
        <f t="shared" si="3"/>
        <v>?</v>
      </c>
      <c r="Q19" s="7"/>
      <c r="R19" s="26" t="str">
        <f>IFERROR(IF(AA19="A",K19,Biodiversity!K19*Biodiversity!M19*O19),"?")</f>
        <v>?</v>
      </c>
      <c r="S19" s="16" t="str">
        <f>IFERROR(IF(AC19="A",L19,Biodiversity!L19*Biodiversity!N19*P19),"?")</f>
        <v>?</v>
      </c>
      <c r="U19" s="15">
        <f t="shared" si="4"/>
        <v>0</v>
      </c>
      <c r="V19" s="15">
        <f t="shared" si="5"/>
        <v>0</v>
      </c>
      <c r="W19" s="15"/>
      <c r="X19" s="15">
        <f>'Biodiversity Assessment'!CH26</f>
        <v>0</v>
      </c>
      <c r="Y19" s="15">
        <f>'Biodiversity Assessment'!CJ26</f>
        <v>0</v>
      </c>
      <c r="Z19" s="15"/>
      <c r="AA19" s="15" t="str">
        <f>'Biodiversity Assessment'!J26</f>
        <v/>
      </c>
      <c r="AB19" s="67" t="str">
        <f>'Biodiversity Assessment'!K26</f>
        <v>?</v>
      </c>
      <c r="AC19" s="15" t="str">
        <f>'Biodiversity Assessment'!R26</f>
        <v/>
      </c>
      <c r="AD19" s="67" t="str">
        <f>'Biodiversity Assessment'!S26</f>
        <v>?</v>
      </c>
      <c r="AF19" s="58" t="s">
        <v>433</v>
      </c>
      <c r="AG19" s="46">
        <f>IF(AB11=9,D11,0)+ IF(AB12=9,D12,0)+ IF(AB13=9,D13,0)+ IF(AB14=9,D14,0)+ IF(AB15=9,D15,0)+ IF(AB16=9,D16,0)+ IF(AB17=9,D17,0)+ IF(AB18=9,D18,0)+ IF(AB19=9,D19,0)+ IF(AB20=9,D20,0)+ IF(AB21=9,D21,0)+ IF(AB22=9,D22,0)+ IF(AB23=9,D23,0)+ IF(AB24=9,D24,0)+ IF(AB25=9,D25,0)+ IF(AB26=9,D26,0)+ IF(AB27=9,D27,0)+ IF(AB28=9,D28,0)+ IF(AB29=9,D29,0)+ IF(AB30=9,D30,0)+ IF(AB31=9,D31,0)+ IF(AB32=9,D32,0)+ IF(AB33=9,D33,0)+ IF(AB34=9,D34,0)+ IF(AB35=9,D35,0)+ IF(AB36=9,D36,0)+ IF(AB37=9,D37,0)+ IF(AB38=9,D38,0)+ IF(AB39=9,D39,0)+ IF(AB40=9,D40,0)</f>
        <v>0</v>
      </c>
      <c r="AH19" s="62">
        <f>IF(AND(AG19&gt;=0,AG19&lt;100),AG19*Data!$L$18+Data!$L$11,IF(AND(AG19&gt;=100,AG19&lt;1000),AG19*Data!$L$19+Data!$L$12,IF(AND(AG19&gt;=1000,AG19&lt;10000),AG19*Data!$L$20+Data!$L$13,IF(AND(AG19&gt;=10000,AG19&lt;100000),AG19*Data!$L$21+Data!$L$14,IF(AND(AG19&gt;=100000,AG19&lt;1000000),AG19*Data!$L$22+Data!$L$15,IF(AG19&gt;=1000000,1,"?"))))))</f>
        <v>0.35</v>
      </c>
      <c r="AI19" s="76">
        <f t="shared" si="6"/>
        <v>0</v>
      </c>
      <c r="AJ19" s="66">
        <f>IF(AD11=9,F11,0)+ IF(AD12=9,F12,0)+ IF(AD13=9,F13,0)+ IF(AD14=9,F14,0)+ IF(AD15=9,F15,0)+ IF(AD16=9,F16,0)+ IF(AD17=9,F17,0)+ IF(AD18=9,F18,0)+ IF(AD19=9,F19,0)+ IF(AD20=9,F20,0)+ IF(AD21=9,F21,0)+ IF(AD22=9,F22,0)+ IF(AD23=9,F23,0)+ IF(AD24=9,F24,0)+ IF(AD25=9,F25,0)+ IF(AD26=9,F26,0)+ IF(AD27=9,F27,0)+ IF(AD28=9,F28,0)+ IF(AD29=9,F29,0)+ IF(AD30=9,F30,0)+ IF(AD31=9,F31,0)+ IF(AD32=9,F32,0)+ IF(AD33=9,F33,0)+ IF(AD34=9,F34,0)+ IF(AD35=9,F35,0)+ IF(AD36=9,F36,0)+ IF(AD37=9,F37,0)+ IF(AD38=9,F38,0)+ IF(AD39=9,F39,0)+ IF(AD40=9,F40,0)</f>
        <v>0</v>
      </c>
      <c r="AK19" s="66">
        <f>IF(AND(AJ19&gt;=0,AJ19&lt;100),AJ19*Data!$L$18+Data!$L$11,IF(AND(AJ19&gt;=100,AJ19&lt;1000),AJ19*Data!$L$19+Data!$L$12,IF(AND(AJ19&gt;=1000,AJ19&lt;10000),AJ19*Data!$L$20+Data!$L$13,IF(AND(AJ19&gt;=10000,AJ19&lt;100000),AJ19*Data!$L$21+Data!$L$14,IF(AND(AJ19&gt;=100000,AJ19&lt;1000000),AJ19*Data!$L$22+Data!$L$15,IF(AJ19&gt;=1000000,1,"?"))))))</f>
        <v>0.35</v>
      </c>
      <c r="AL19" s="3">
        <f t="shared" si="7"/>
        <v>0</v>
      </c>
    </row>
    <row r="20" spans="1:38" ht="14.5" x14ac:dyDescent="0.25">
      <c r="A20" s="7"/>
      <c r="B20" s="7" t="s">
        <v>59</v>
      </c>
      <c r="C20" s="7" t="str">
        <f>'Biodiversity Assessment'!G27</f>
        <v>Select land use</v>
      </c>
      <c r="D20" s="7">
        <f>'Biodiversity Assessment'!M27</f>
        <v>0</v>
      </c>
      <c r="E20" s="7" t="str">
        <f>'Biodiversity Assessment'!O27</f>
        <v>Select land use</v>
      </c>
      <c r="F20" s="54">
        <f>'Biodiversity Assessment'!U27</f>
        <v>0</v>
      </c>
      <c r="G20" s="27"/>
      <c r="H20" s="27"/>
      <c r="I20" s="27">
        <f>'Biodiversity Assessment'!BD27</f>
        <v>0</v>
      </c>
      <c r="J20" s="27">
        <f>'Biodiversity Assessment'!BF27</f>
        <v>0</v>
      </c>
      <c r="K20" s="16" t="str">
        <f>IF(C20=Data!$E$3,"?",IF(Biodiversity!C20=Data!$E$4,Data!$G$4,IF(Biodiversity!C20=Data!$E$5,Data!$G$5,IF(Biodiversity!C20=Data!$E$6,Data!$G$6,IF(Biodiversity!C20=Data!$E$7,Data!$G$7,IF(Biodiversity!C20=Data!$E$8,Data!$G$8,IF(Biodiversity!C20=Data!$E$9,Data!$G$9,IF(Biodiversity!C20=Data!$E$10,Data!$G$10,IF(Biodiversity!C20=Data!$E$11,Data!$G$11,IF(Biodiversity!C20=Data!$E$12,Data!$G$12,IF(Biodiversity!C20=Data!$E$13,Data!$G$13,IF(Biodiversity!C20=Data!$E$14,Data!$G$14,IF(Biodiversity!C20=Data!$E$15,Data!$G$15,IF(Biodiversity!C20=Data!$E$16,Data!$G$16,IF(Biodiversity!C20=Data!$E$17,Data!$G$17,IF(Biodiversity!C20=Data!$E$18,Data!$G$18,IF(Biodiversity!C20=Data!$E$19,Data!$G$19,IF(Biodiversity!C20=Data!$E$20,Data!$G$20,IF(Biodiversity!C20=Data!$E$21,Data!$G$21,"")))))))))))))))))))</f>
        <v>?</v>
      </c>
      <c r="L20" s="16" t="str">
        <f>IF(E20=Data!$E$3,"?",IF(Biodiversity!E20=Data!$E$4,Data!$G$4,IF(Biodiversity!E20=Data!$E$5,Data!$G$5,IF(Biodiversity!E20=Data!$E$6,Data!$G$6,IF(Biodiversity!E20=Data!$E$7,Data!$G$7,IF(Biodiversity!E20=Data!$E$8,Data!$G$8,IF(Biodiversity!E20=Data!$E$9,Data!$G$9,IF(Biodiversity!E20=Data!$E$10,Data!$G$10,IF(Biodiversity!E20=Data!$E$11,Data!$G$11,IF(Biodiversity!E20=Data!$E$12,Data!$G$12,IF(Biodiversity!E20=Data!$E$13,Data!$G$13,IF(Biodiversity!E20=Data!$E$14,Data!$G$14,IF(Biodiversity!E20=Data!$E$15,Data!$G$15,IF(Biodiversity!E20=Data!$E$16,Data!$G$16,IF(Biodiversity!E20=Data!$E$17,Data!$G$17,IF(Biodiversity!E20=Data!$E$18,Data!$G$18,IF(Biodiversity!E20=Data!$E$19,Data!$G$19,IF(Biodiversity!E20=Data!$E$20,Data!$G$20,IF(Biodiversity!E20=Data!$E$21,Data!$G$21,"")))))))))))))))))))</f>
        <v>?</v>
      </c>
      <c r="M20" s="16" t="str">
        <f t="shared" si="0"/>
        <v>?</v>
      </c>
      <c r="N20" s="16" t="str">
        <f t="shared" si="1"/>
        <v>?</v>
      </c>
      <c r="O20" s="15" t="str">
        <f t="shared" si="2"/>
        <v>?</v>
      </c>
      <c r="P20" s="15" t="str">
        <f t="shared" si="3"/>
        <v>?</v>
      </c>
      <c r="Q20" s="7"/>
      <c r="R20" s="26" t="str">
        <f>IFERROR(IF(AA20="A",K20,Biodiversity!K20*Biodiversity!M20*O20),"?")</f>
        <v>?</v>
      </c>
      <c r="S20" s="16" t="str">
        <f>IFERROR(IF(AC20="A",L20,Biodiversity!L20*Biodiversity!N20*P20),"?")</f>
        <v>?</v>
      </c>
      <c r="U20" s="15">
        <f t="shared" si="4"/>
        <v>0</v>
      </c>
      <c r="V20" s="15">
        <f t="shared" si="5"/>
        <v>0</v>
      </c>
      <c r="W20" s="15"/>
      <c r="X20" s="15">
        <f>'Biodiversity Assessment'!CH27</f>
        <v>0</v>
      </c>
      <c r="Y20" s="15">
        <f>'Biodiversity Assessment'!CJ27</f>
        <v>0</v>
      </c>
      <c r="Z20" s="15"/>
      <c r="AA20" s="15" t="str">
        <f>'Biodiversity Assessment'!J27</f>
        <v/>
      </c>
      <c r="AB20" s="67" t="str">
        <f>'Biodiversity Assessment'!K27</f>
        <v>?</v>
      </c>
      <c r="AC20" s="15" t="str">
        <f>'Biodiversity Assessment'!R27</f>
        <v/>
      </c>
      <c r="AD20" s="67" t="str">
        <f>'Biodiversity Assessment'!S27</f>
        <v>?</v>
      </c>
      <c r="AF20" s="58" t="s">
        <v>434</v>
      </c>
      <c r="AG20" s="60">
        <f>IF(AB11=10,D11,0)+ IF(AB12=10,D12,0)+ IF(AB13=10,D13,0)+ IF(AB14=10,D14,0)+ IF(AB15=10,D15,0)+ IF(AB16=10,D16,0)+ IF(AB17=10,D17,0)+ IF(AB18=10,D18,0)+ IF(AB19=10,D19,0)+ IF(AB20=10,D20,0)+ IF(AB21=10,D21,0)+ IF(AB22=10,D22,0)+ IF(AB23=10,D23,0)+ IF(AB24=10,D24,0)+ IF(AB25=10,D25,0)+ IF(AB26=10,D26,0)+ IF(AB27=10,D27,0)+ IF(AB28=10,D28,0)+ IF(AB29=10,D29,0)+ IF(AB30=10,D30,0)+ IF(AB31=10,D31,0)+ IF(AB32=10,D32,0)+ IF(AB33=10,D33,0)+ IF(AB34=10,D34,0)+ IF(AB35=10,D35,0)+ IF(AB36=10,D36,0)+ IF(AB37=10,D37,0)+ IF(AB38=10,D38,0)+ IF(AB39=10,D39,0)+ IF(AB40=10,D40,0)</f>
        <v>0</v>
      </c>
      <c r="AH20" s="62">
        <f>IF(AND(AG20&gt;=0,AG20&lt;100),AG20*Data!$L$18+Data!$L$11,IF(AND(AG20&gt;=100,AG20&lt;1000),AG20*Data!$L$19+Data!$L$12,IF(AND(AG20&gt;=1000,AG20&lt;10000),AG20*Data!$L$20+Data!$L$13,IF(AND(AG20&gt;=10000,AG20&lt;100000),AG20*Data!$L$21+Data!$L$14,IF(AND(AG20&gt;=100000,AG20&lt;1000000),AG20*Data!$L$22+Data!$L$15,IF(AG20&gt;=1000000,1,"?"))))))</f>
        <v>0.35</v>
      </c>
      <c r="AI20" s="76">
        <f t="shared" si="6"/>
        <v>0</v>
      </c>
      <c r="AJ20" s="66">
        <f>IF(AD11=10,F11,0)+ IF(AD12=10,F12,0)+ IF(AD13=10,F13,0)+ IF(AD14=10,F14,0)+ IF(AD15=10,F15,0)+ IF(AD16=10,F16,0)+ IF(AD17=10,F17,0)+ IF(AD18=10,F18,0)+ IF(AD19=10,F19,0)+ IF(AD20=10,F20,0)+ IF(AD21=10,F21,0)+ IF(AD22=10,F22,0)+ IF(AD23=10,F23,0)+ IF(AD24=10,F24,0)+ IF(AD25=10,F25,0)+ IF(AD26=10,F26,0)+ IF(AD27=10,F27,0)+ IF(AD28=10,F28,0)+ IF(AD29=10,F29,0)+ IF(AD30=10,F30,0)+ IF(AD31=10,F31,0)+ IF(AD32=10,F32,0)+ IF(AD33=10,F33,0)+ IF(AD34=10,F34,0)+ IF(AD35=10,F35,0)+ IF(AD36=10,F36,0)+ IF(AD37=10,F37,0)+ IF(AD38=10,F38,0)+ IF(AD39=10,F39,0)+ IF(AD40=10,F40,0)</f>
        <v>0</v>
      </c>
      <c r="AK20" s="66">
        <f>IF(AND(AJ20&gt;=0,AJ20&lt;100),AJ20*Data!$L$18+Data!$L$11,IF(AND(AJ20&gt;=100,AJ20&lt;1000),AJ20*Data!$L$19+Data!$L$12,IF(AND(AJ20&gt;=1000,AJ20&lt;10000),AJ20*Data!$L$20+Data!$L$13,IF(AND(AJ20&gt;=10000,AJ20&lt;100000),AJ20*Data!$L$21+Data!$L$14,IF(AND(AJ20&gt;=100000,AJ20&lt;1000000),AJ20*Data!$L$22+Data!$L$15,IF(AJ20&gt;=1000000,1,"?"))))))</f>
        <v>0.35</v>
      </c>
      <c r="AL20" s="3">
        <f t="shared" si="7"/>
        <v>0</v>
      </c>
    </row>
    <row r="21" spans="1:38" ht="14.5" x14ac:dyDescent="0.25">
      <c r="A21" s="7"/>
      <c r="B21" s="7" t="s">
        <v>60</v>
      </c>
      <c r="C21" s="7" t="str">
        <f>'Biodiversity Assessment'!G28</f>
        <v>Select land use</v>
      </c>
      <c r="D21" s="7">
        <f>'Biodiversity Assessment'!M28</f>
        <v>0</v>
      </c>
      <c r="E21" s="7" t="str">
        <f>'Biodiversity Assessment'!O28</f>
        <v>Select land use</v>
      </c>
      <c r="F21" s="54">
        <f>'Biodiversity Assessment'!U28</f>
        <v>0</v>
      </c>
      <c r="G21" s="27"/>
      <c r="H21" s="27"/>
      <c r="I21" s="27">
        <f>'Biodiversity Assessment'!BD28</f>
        <v>0</v>
      </c>
      <c r="J21" s="27">
        <f>'Biodiversity Assessment'!BF28</f>
        <v>0</v>
      </c>
      <c r="K21" s="16" t="str">
        <f>IF(C21=Data!$E$3,"?",IF(Biodiversity!C21=Data!$E$4,Data!$G$4,IF(Biodiversity!C21=Data!$E$5,Data!$G$5,IF(Biodiversity!C21=Data!$E$6,Data!$G$6,IF(Biodiversity!C21=Data!$E$7,Data!$G$7,IF(Biodiversity!C21=Data!$E$8,Data!$G$8,IF(Biodiversity!C21=Data!$E$9,Data!$G$9,IF(Biodiversity!C21=Data!$E$10,Data!$G$10,IF(Biodiversity!C21=Data!$E$11,Data!$G$11,IF(Biodiversity!C21=Data!$E$12,Data!$G$12,IF(Biodiversity!C21=Data!$E$13,Data!$G$13,IF(Biodiversity!C21=Data!$E$14,Data!$G$14,IF(Biodiversity!C21=Data!$E$15,Data!$G$15,IF(Biodiversity!C21=Data!$E$16,Data!$G$16,IF(Biodiversity!C21=Data!$E$17,Data!$G$17,IF(Biodiversity!C21=Data!$E$18,Data!$G$18,IF(Biodiversity!C21=Data!$E$19,Data!$G$19,IF(Biodiversity!C21=Data!$E$20,Data!$G$20,IF(Biodiversity!C21=Data!$E$21,Data!$G$21,"")))))))))))))))))))</f>
        <v>?</v>
      </c>
      <c r="L21" s="16" t="str">
        <f>IF(E21=Data!$E$3,"?",IF(Biodiversity!E21=Data!$E$4,Data!$G$4,IF(Biodiversity!E21=Data!$E$5,Data!$G$5,IF(Biodiversity!E21=Data!$E$6,Data!$G$6,IF(Biodiversity!E21=Data!$E$7,Data!$G$7,IF(Biodiversity!E21=Data!$E$8,Data!$G$8,IF(Biodiversity!E21=Data!$E$9,Data!$G$9,IF(Biodiversity!E21=Data!$E$10,Data!$G$10,IF(Biodiversity!E21=Data!$E$11,Data!$G$11,IF(Biodiversity!E21=Data!$E$12,Data!$G$12,IF(Biodiversity!E21=Data!$E$13,Data!$G$13,IF(Biodiversity!E21=Data!$E$14,Data!$G$14,IF(Biodiversity!E21=Data!$E$15,Data!$G$15,IF(Biodiversity!E21=Data!$E$16,Data!$G$16,IF(Biodiversity!E21=Data!$E$17,Data!$G$17,IF(Biodiversity!E21=Data!$E$18,Data!$G$18,IF(Biodiversity!E21=Data!$E$19,Data!$G$19,IF(Biodiversity!E21=Data!$E$20,Data!$G$20,IF(Biodiversity!E21=Data!$E$21,Data!$G$21,"")))))))))))))))))))</f>
        <v>?</v>
      </c>
      <c r="M21" s="16" t="str">
        <f t="shared" si="0"/>
        <v>?</v>
      </c>
      <c r="N21" s="16" t="str">
        <f t="shared" si="1"/>
        <v>?</v>
      </c>
      <c r="O21" s="15" t="str">
        <f t="shared" si="2"/>
        <v>?</v>
      </c>
      <c r="P21" s="15" t="str">
        <f t="shared" si="3"/>
        <v>?</v>
      </c>
      <c r="Q21" s="7"/>
      <c r="R21" s="26" t="str">
        <f>IFERROR(IF(AA21="A",K21,Biodiversity!K21*Biodiversity!M21*O21),"?")</f>
        <v>?</v>
      </c>
      <c r="S21" s="16" t="str">
        <f>IFERROR(IF(AC21="A",L21,Biodiversity!L21*Biodiversity!N21*P21),"?")</f>
        <v>?</v>
      </c>
      <c r="U21" s="15">
        <f t="shared" si="4"/>
        <v>0</v>
      </c>
      <c r="V21" s="15">
        <f t="shared" si="5"/>
        <v>0</v>
      </c>
      <c r="W21" s="15"/>
      <c r="X21" s="15">
        <f>'Biodiversity Assessment'!CH28</f>
        <v>0</v>
      </c>
      <c r="Y21" s="15">
        <f>'Biodiversity Assessment'!CJ28</f>
        <v>0</v>
      </c>
      <c r="Z21" s="15"/>
      <c r="AA21" s="15" t="str">
        <f>'Biodiversity Assessment'!J28</f>
        <v/>
      </c>
      <c r="AB21" s="67" t="str">
        <f>'Biodiversity Assessment'!K28</f>
        <v>?</v>
      </c>
      <c r="AC21" s="15" t="str">
        <f>'Biodiversity Assessment'!R28</f>
        <v/>
      </c>
      <c r="AD21" s="67" t="str">
        <f>'Biodiversity Assessment'!S28</f>
        <v>?</v>
      </c>
      <c r="AF21" s="58" t="s">
        <v>435</v>
      </c>
      <c r="AG21" s="60">
        <f>IF(AB11=11,D11,0)+ IF(AB12=11,D12,0)+ IF(AB13=11,D13,0)+ IF(AB14=11,D14,0)+ IF(AB15=11,D15,0)+ IF(AB16=11,D16,0)+ IF(AB17=11,D17,0)+ IF(AB18=11,D18,0)+ IF(AB19=11,D19,0)+ IF(AB20=11,D20,0)+ IF(AB21=11,D21,0)+ IF(AB22=11,D22,0)+ IF(AB23=11,D23,0)+ IF(AB24=11,D24,0)+ IF(AB25=11,D25,0)+ IF(AB26=11,D26,0)+ IF(AB27=11,D27,0)+ IF(AB28=11,D28,0)+ IF(AB29=11,D29,0)+ IF(AB30=11,D30,0)+ IF(AB31=11,D31,0)+ IF(AB32=11,D32,0)+ IF(AB33=11,D33,0)+ IF(AB34=11,D34,0)+ IF(AB35=11,D35,0)+ IF(AB36=11,D36,0)+ IF(AB37=11,D37,0)+ IF(AB38=11,D38,0)+ IF(AB39=11,D39,0)+ IF(AB40=11,D40,0)</f>
        <v>0</v>
      </c>
      <c r="AH21" s="62">
        <f>IF(AND(AG21&gt;=0,AG21&lt;100),AG21*Data!$L$18+Data!$L$11,IF(AND(AG21&gt;=100,AG21&lt;1000),AG21*Data!$L$19+Data!$L$12,IF(AND(AG21&gt;=1000,AG21&lt;10000),AG21*Data!$L$20+Data!$L$13,IF(AND(AG21&gt;=10000,AG21&lt;100000),AG21*Data!$L$21+Data!$L$14,IF(AND(AG21&gt;=100000,AG21&lt;1000000),AG21*Data!$L$22+Data!$L$15,IF(AG21&gt;=1000000,1,"?"))))))</f>
        <v>0.35</v>
      </c>
      <c r="AI21" s="76">
        <f t="shared" si="6"/>
        <v>0</v>
      </c>
      <c r="AJ21" s="66">
        <f>IF(AD11=11,F11,0)+ IF(AD12=11,F12,0)+ IF(AD13=11,F13,0)+ IF(AD14=11,F14,0)+ IF(AD15=11,F15,0)+ IF(AD16=11,F16,0)+ IF(AD17=11,F17,0)+ IF(AD18=11,F18,0)+ IF(AD19=11,F19,0)+ IF(AD20=11,F20,0)+ IF(AD21=11,F21,0)+ IF(AD22=11,F22,0)+ IF(AD23=11,F23,0)+ IF(AD24=11,F24,0)+ IF(AD25=11,F25,0)+ IF(AD26=11,F26,0)+ IF(AD27=11,F27,0)+ IF(AD28=11,F28,0)+ IF(AD29=11,F29,0)+ IF(AD30=11,F30,0)+ IF(AD31=11,F31,0)+ IF(AD32=11,F32,0)+ IF(AD33=11,F33,0)+ IF(AD34=11,F34,0)+ IF(AD35=11,F35,0)+ IF(AD36=11,F36,0)+ IF(AD37=11,F37,0)+ IF(AD38=11,F38,0)+ IF(AD39=11,F39,0)+ IF(AD40=11,F40,0)</f>
        <v>0</v>
      </c>
      <c r="AK21" s="66">
        <f>IF(AND(AJ21&gt;=0,AJ21&lt;100),AJ21*Data!$L$18+Data!$L$11,IF(AND(AJ21&gt;=100,AJ21&lt;1000),AJ21*Data!$L$19+Data!$L$12,IF(AND(AJ21&gt;=1000,AJ21&lt;10000),AJ21*Data!$L$20+Data!$L$13,IF(AND(AJ21&gt;=10000,AJ21&lt;100000),AJ21*Data!$L$21+Data!$L$14,IF(AND(AJ21&gt;=100000,AJ21&lt;1000000),AJ21*Data!$L$22+Data!$L$15,IF(AJ21&gt;=1000000,1,"?"))))))</f>
        <v>0.35</v>
      </c>
      <c r="AL21" s="3">
        <f t="shared" si="7"/>
        <v>0</v>
      </c>
    </row>
    <row r="22" spans="1:38" ht="14.5" x14ac:dyDescent="0.25">
      <c r="A22" s="7"/>
      <c r="B22" s="7" t="s">
        <v>61</v>
      </c>
      <c r="C22" s="7" t="str">
        <f>'Biodiversity Assessment'!G29</f>
        <v>Select land use</v>
      </c>
      <c r="D22" s="7">
        <f>'Biodiversity Assessment'!M29</f>
        <v>0</v>
      </c>
      <c r="E22" s="7" t="str">
        <f>'Biodiversity Assessment'!O29</f>
        <v>Select land use</v>
      </c>
      <c r="F22" s="54">
        <f>'Biodiversity Assessment'!U29</f>
        <v>0</v>
      </c>
      <c r="G22" s="27"/>
      <c r="H22" s="27"/>
      <c r="I22" s="27">
        <f>'Biodiversity Assessment'!BD29</f>
        <v>0</v>
      </c>
      <c r="J22" s="27">
        <f>'Biodiversity Assessment'!BF29</f>
        <v>0</v>
      </c>
      <c r="K22" s="16" t="str">
        <f>IF(C22=Data!$E$3,"?",IF(Biodiversity!C22=Data!$E$4,Data!$G$4,IF(Biodiversity!C22=Data!$E$5,Data!$G$5,IF(Biodiversity!C22=Data!$E$6,Data!$G$6,IF(Biodiversity!C22=Data!$E$7,Data!$G$7,IF(Biodiversity!C22=Data!$E$8,Data!$G$8,IF(Biodiversity!C22=Data!$E$9,Data!$G$9,IF(Biodiversity!C22=Data!$E$10,Data!$G$10,IF(Biodiversity!C22=Data!$E$11,Data!$G$11,IF(Biodiversity!C22=Data!$E$12,Data!$G$12,IF(Biodiversity!C22=Data!$E$13,Data!$G$13,IF(Biodiversity!C22=Data!$E$14,Data!$G$14,IF(Biodiversity!C22=Data!$E$15,Data!$G$15,IF(Biodiversity!C22=Data!$E$16,Data!$G$16,IF(Biodiversity!C22=Data!$E$17,Data!$G$17,IF(Biodiversity!C22=Data!$E$18,Data!$G$18,IF(Biodiversity!C22=Data!$E$19,Data!$G$19,IF(Biodiversity!C22=Data!$E$20,Data!$G$20,IF(Biodiversity!C22=Data!$E$21,Data!$G$21,"")))))))))))))))))))</f>
        <v>?</v>
      </c>
      <c r="L22" s="16" t="str">
        <f>IF(E22=Data!$E$3,"?",IF(Biodiversity!E22=Data!$E$4,Data!$G$4,IF(Biodiversity!E22=Data!$E$5,Data!$G$5,IF(Biodiversity!E22=Data!$E$6,Data!$G$6,IF(Biodiversity!E22=Data!$E$7,Data!$G$7,IF(Biodiversity!E22=Data!$E$8,Data!$G$8,IF(Biodiversity!E22=Data!$E$9,Data!$G$9,IF(Biodiversity!E22=Data!$E$10,Data!$G$10,IF(Biodiversity!E22=Data!$E$11,Data!$G$11,IF(Biodiversity!E22=Data!$E$12,Data!$G$12,IF(Biodiversity!E22=Data!$E$13,Data!$G$13,IF(Biodiversity!E22=Data!$E$14,Data!$G$14,IF(Biodiversity!E22=Data!$E$15,Data!$G$15,IF(Biodiversity!E22=Data!$E$16,Data!$G$16,IF(Biodiversity!E22=Data!$E$17,Data!$G$17,IF(Biodiversity!E22=Data!$E$18,Data!$G$18,IF(Biodiversity!E22=Data!$E$19,Data!$G$19,IF(Biodiversity!E22=Data!$E$20,Data!$G$20,IF(Biodiversity!E22=Data!$E$21,Data!$G$21,"")))))))))))))))))))</f>
        <v>?</v>
      </c>
      <c r="M22" s="16" t="str">
        <f t="shared" si="0"/>
        <v>?</v>
      </c>
      <c r="N22" s="16" t="str">
        <f t="shared" si="1"/>
        <v>?</v>
      </c>
      <c r="O22" s="15" t="str">
        <f t="shared" si="2"/>
        <v>?</v>
      </c>
      <c r="P22" s="15" t="str">
        <f t="shared" si="3"/>
        <v>?</v>
      </c>
      <c r="Q22" s="7"/>
      <c r="R22" s="26" t="str">
        <f>IFERROR(IF(AA22="A",K22,Biodiversity!K22*Biodiversity!M22*O22),"?")</f>
        <v>?</v>
      </c>
      <c r="S22" s="16" t="str">
        <f>IFERROR(IF(AC22="A",L22,Biodiversity!L22*Biodiversity!N22*P22),"?")</f>
        <v>?</v>
      </c>
      <c r="U22" s="15">
        <f t="shared" si="4"/>
        <v>0</v>
      </c>
      <c r="V22" s="15">
        <f t="shared" si="5"/>
        <v>0</v>
      </c>
      <c r="W22" s="15"/>
      <c r="X22" s="15">
        <f>'Biodiversity Assessment'!CH29</f>
        <v>0</v>
      </c>
      <c r="Y22" s="15">
        <f>'Biodiversity Assessment'!CJ29</f>
        <v>0</v>
      </c>
      <c r="Z22" s="15"/>
      <c r="AA22" s="15" t="str">
        <f>'Biodiversity Assessment'!J29</f>
        <v/>
      </c>
      <c r="AB22" s="67" t="str">
        <f>'Biodiversity Assessment'!K29</f>
        <v>?</v>
      </c>
      <c r="AC22" s="15" t="str">
        <f>'Biodiversity Assessment'!R29</f>
        <v/>
      </c>
      <c r="AD22" s="67" t="str">
        <f>'Biodiversity Assessment'!S29</f>
        <v>?</v>
      </c>
      <c r="AF22" s="58" t="s">
        <v>436</v>
      </c>
      <c r="AG22" s="46">
        <f>IF(AB11=12,D11,0)+ IF(AB12=12,D12,0)+ IF(AB13=12,D13,0)+ IF(AB14=12,D14,0)+ IF(AB15=12,D15,0)+ IF(AB16=12,D16,0)+ IF(AB17=12,D17,0)+ IF(AB18=12,D18,0)+ IF(AB19=12,D19,0)+ IF(AB20=12,D20,0)+ IF(AB21=12,D21,0)+ IF(AB22=12,D22,0)+ IF(AB23=12,D23,0)+ IF(AB24=12,D24,0)+ IF(AB25=12,D25,0)+ IF(AB26=12,D26,0)+ IF(AB27=12,D27,0)+ IF(AB28=12,D28,0)+ IF(AB29=12,D29,0)+ IF(AB30=12,D30,0)+ IF(AB31=12,D31,0)+ IF(AB32=12,D32,0)+ IF(AB33=12,D33,0)+ IF(AB34=12,D34,0)+ IF(AB35=12,D35,0)+ IF(AB36=12,D36,0)+ IF(AB37=12,D37,0)+ IF(AB38=12,D38,0)+ IF(AB39=12,D39,0)+ IF(AB40=12,D40,0)</f>
        <v>0</v>
      </c>
      <c r="AH22" s="62">
        <f>IF(AND(AG22&gt;=0,AG22&lt;100),AG22*Data!$L$18+Data!$L$11,IF(AND(AG22&gt;=100,AG22&lt;1000),AG22*Data!$L$19+Data!$L$12,IF(AND(AG22&gt;=1000,AG22&lt;10000),AG22*Data!$L$20+Data!$L$13,IF(AND(AG22&gt;=10000,AG22&lt;100000),AG22*Data!$L$21+Data!$L$14,IF(AND(AG22&gt;=100000,AG22&lt;1000000),AG22*Data!$L$22+Data!$L$15,IF(AG22&gt;=1000000,1,"?"))))))</f>
        <v>0.35</v>
      </c>
      <c r="AI22" s="76">
        <f t="shared" si="6"/>
        <v>0</v>
      </c>
      <c r="AJ22" s="66">
        <f>IF(AD11=12,F11,0)+ IF(AD12=12,F12,0)+ IF(AD13=12,F13,0)+ IF(AD14=12,F14,0)+ IF(AD15=12,F15,0)+ IF(AD16=12,F16,0)+ IF(AD17=12,F17,0)+ IF(AD18=12,F18,0)+ IF(AD19=12,F19,0)+ IF(AD20=12,F20,0)+ IF(AD21=12,F21,0)+ IF(AD22=12,F22,0)+ IF(AD23=12,F23,0)+ IF(AD24=12,F24,0)+ IF(AD25=12,F25,0)+ IF(AD26=12,F26,0)+ IF(AD27=12,F27,0)+ IF(AD28=12,F28,0)+ IF(AD29=12,F29,0)+ IF(AD30=12,F30,0)+ IF(AD31=12,F31,0)+ IF(AD32=12,F32,0)+ IF(AD33=12,F33,0)+ IF(AD34=12,F34,0)+ IF(AD35=12,F35,0)+ IF(AD36=12,F36,0)+ IF(AD37=12,F37,0)+ IF(AD38=12,F38,0)+ IF(AD39=12,F39,0)+ IF(AD40=12,F40,0)</f>
        <v>0</v>
      </c>
      <c r="AK22" s="66">
        <f>IF(AND(AJ22&gt;=0,AJ22&lt;100),AJ22*Data!$L$18+Data!$L$11,IF(AND(AJ22&gt;=100,AJ22&lt;1000),AJ22*Data!$L$19+Data!$L$12,IF(AND(AJ22&gt;=1000,AJ22&lt;10000),AJ22*Data!$L$20+Data!$L$13,IF(AND(AJ22&gt;=10000,AJ22&lt;100000),AJ22*Data!$L$21+Data!$L$14,IF(AND(AJ22&gt;=100000,AJ22&lt;1000000),AJ22*Data!$L$22+Data!$L$15,IF(AJ22&gt;=1000000,1,"?"))))))</f>
        <v>0.35</v>
      </c>
      <c r="AL22" s="3">
        <f t="shared" si="7"/>
        <v>0</v>
      </c>
    </row>
    <row r="23" spans="1:38" ht="14.5" x14ac:dyDescent="0.25">
      <c r="A23" s="7"/>
      <c r="B23" s="7" t="s">
        <v>62</v>
      </c>
      <c r="C23" s="7" t="str">
        <f>'Biodiversity Assessment'!G30</f>
        <v>Select land use</v>
      </c>
      <c r="D23" s="7">
        <f>'Biodiversity Assessment'!M30</f>
        <v>0</v>
      </c>
      <c r="E23" s="7" t="str">
        <f>'Biodiversity Assessment'!O30</f>
        <v>Select land use</v>
      </c>
      <c r="F23" s="54">
        <f>'Biodiversity Assessment'!U30</f>
        <v>0</v>
      </c>
      <c r="G23" s="27"/>
      <c r="H23" s="27"/>
      <c r="I23" s="27">
        <f>'Biodiversity Assessment'!BD30</f>
        <v>0</v>
      </c>
      <c r="J23" s="27">
        <f>'Biodiversity Assessment'!BF30</f>
        <v>0</v>
      </c>
      <c r="K23" s="16" t="str">
        <f>IF(C23=Data!$E$3,"?",IF(Biodiversity!C23=Data!$E$4,Data!$G$4,IF(Biodiversity!C23=Data!$E$5,Data!$G$5,IF(Biodiversity!C23=Data!$E$6,Data!$G$6,IF(Biodiversity!C23=Data!$E$7,Data!$G$7,IF(Biodiversity!C23=Data!$E$8,Data!$G$8,IF(Biodiversity!C23=Data!$E$9,Data!$G$9,IF(Biodiversity!C23=Data!$E$10,Data!$G$10,IF(Biodiversity!C23=Data!$E$11,Data!$G$11,IF(Biodiversity!C23=Data!$E$12,Data!$G$12,IF(Biodiversity!C23=Data!$E$13,Data!$G$13,IF(Biodiversity!C23=Data!$E$14,Data!$G$14,IF(Biodiversity!C23=Data!$E$15,Data!$G$15,IF(Biodiversity!C23=Data!$E$16,Data!$G$16,IF(Biodiversity!C23=Data!$E$17,Data!$G$17,IF(Biodiversity!C23=Data!$E$18,Data!$G$18,IF(Biodiversity!C23=Data!$E$19,Data!$G$19,IF(Biodiversity!C23=Data!$E$20,Data!$G$20,IF(Biodiversity!C23=Data!$E$21,Data!$G$21,"")))))))))))))))))))</f>
        <v>?</v>
      </c>
      <c r="L23" s="16" t="str">
        <f>IF(E23=Data!$E$3,"?",IF(Biodiversity!E23=Data!$E$4,Data!$G$4,IF(Biodiversity!E23=Data!$E$5,Data!$G$5,IF(Biodiversity!E23=Data!$E$6,Data!$G$6,IF(Biodiversity!E23=Data!$E$7,Data!$G$7,IF(Biodiversity!E23=Data!$E$8,Data!$G$8,IF(Biodiversity!E23=Data!$E$9,Data!$G$9,IF(Biodiversity!E23=Data!$E$10,Data!$G$10,IF(Biodiversity!E23=Data!$E$11,Data!$G$11,IF(Biodiversity!E23=Data!$E$12,Data!$G$12,IF(Biodiversity!E23=Data!$E$13,Data!$G$13,IF(Biodiversity!E23=Data!$E$14,Data!$G$14,IF(Biodiversity!E23=Data!$E$15,Data!$G$15,IF(Biodiversity!E23=Data!$E$16,Data!$G$16,IF(Biodiversity!E23=Data!$E$17,Data!$G$17,IF(Biodiversity!E23=Data!$E$18,Data!$G$18,IF(Biodiversity!E23=Data!$E$19,Data!$G$19,IF(Biodiversity!E23=Data!$E$20,Data!$G$20,IF(Biodiversity!E23=Data!$E$21,Data!$G$21,"")))))))))))))))))))</f>
        <v>?</v>
      </c>
      <c r="M23" s="16" t="str">
        <f t="shared" si="0"/>
        <v>?</v>
      </c>
      <c r="N23" s="16" t="str">
        <f t="shared" si="1"/>
        <v>?</v>
      </c>
      <c r="O23" s="15" t="str">
        <f t="shared" si="2"/>
        <v>?</v>
      </c>
      <c r="P23" s="15" t="str">
        <f t="shared" si="3"/>
        <v>?</v>
      </c>
      <c r="Q23" s="7"/>
      <c r="R23" s="26" t="str">
        <f>IFERROR(IF(AA23="A",K23,Biodiversity!K23*Biodiversity!M23*O23),"?")</f>
        <v>?</v>
      </c>
      <c r="S23" s="16" t="str">
        <f>IFERROR(IF(AC23="A",L23,Biodiversity!L23*Biodiversity!N23*P23),"?")</f>
        <v>?</v>
      </c>
      <c r="U23" s="15">
        <f t="shared" si="4"/>
        <v>0</v>
      </c>
      <c r="V23" s="15">
        <f t="shared" si="5"/>
        <v>0</v>
      </c>
      <c r="W23" s="15"/>
      <c r="X23" s="15">
        <f>'Biodiversity Assessment'!CH30</f>
        <v>0</v>
      </c>
      <c r="Y23" s="15">
        <f>'Biodiversity Assessment'!CJ30</f>
        <v>0</v>
      </c>
      <c r="Z23" s="15"/>
      <c r="AA23" s="15" t="str">
        <f>'Biodiversity Assessment'!J30</f>
        <v/>
      </c>
      <c r="AB23" s="67" t="str">
        <f>'Biodiversity Assessment'!K30</f>
        <v>?</v>
      </c>
      <c r="AC23" s="15" t="str">
        <f>'Biodiversity Assessment'!R30</f>
        <v/>
      </c>
      <c r="AD23" s="67" t="str">
        <f>'Biodiversity Assessment'!S30</f>
        <v>?</v>
      </c>
      <c r="AF23" s="58" t="s">
        <v>437</v>
      </c>
      <c r="AG23" s="46">
        <f>IF(AB11=13,D11,0)+ IF(AB12=13,D12,0)+ IF(AB13=13,D13,0)+ IF(AB14=13,D14,0)+ IF(AB15=13,D15,0)+ IF(AB16=13,D16,0)+ IF(AB17=13,D17,0)+ IF(AB18=13,D18,0)+ IF(AB19=13,D19,0)+ IF(AB20=13,D20,0)+ IF(AB21=13,D21,0)+ IF(AB22=13,D22,0)+ IF(AB23=13,D23,0)+ IF(AB24=13,D24,0)+ IF(AB25=13,D25,0)+ IF(AB26=13,D26,0)+ IF(AB27=13,D27,0)+ IF(AB28=13,D28,0)+ IF(AB29=13,D29,0)+ IF(AB30=13,D30,0)+ IF(AB31=13,D31,0)+ IF(AB32=13,D32,0)+ IF(AB33=13,D33,0)+ IF(AB34=13,D34,0)+ IF(AB35=13,D35,0)+ IF(AB36=13,D36,0)+ IF(AB37=13,D37,0)+ IF(AB38=13,D38,0)+ IF(AB39=13,D39,0)+ IF(AB40=13,D40,0)</f>
        <v>0</v>
      </c>
      <c r="AH23" s="62">
        <f>IF(AND(AG23&gt;=0,AG23&lt;100),AG23*Data!$L$18+Data!$L$11,IF(AND(AG23&gt;=100,AG23&lt;1000),AG23*Data!$L$19+Data!$L$12,IF(AND(AG23&gt;=1000,AG23&lt;10000),AG23*Data!$L$20+Data!$L$13,IF(AND(AG23&gt;=10000,AG23&lt;100000),AG23*Data!$L$21+Data!$L$14,IF(AND(AG23&gt;=100000,AG23&lt;1000000),AG23*Data!$L$22+Data!$L$15,IF(AG23&gt;=1000000,1,"?"))))))</f>
        <v>0.35</v>
      </c>
      <c r="AI23" s="76">
        <f t="shared" si="6"/>
        <v>0</v>
      </c>
      <c r="AJ23" s="66">
        <f>IF(AD11=13,F11,0)+ IF(AD12=13,F12,0)+ IF(AD13=13,F13,0)+ IF(AD14=13,F14,0)+ IF(AD15=13,F15,0)+ IF(AD16=13,F16,0)+ IF(AD17=13,F17,0)+ IF(AD18=13,F18,0)+ IF(AD19=13,F19,0)+ IF(AD20=13,F20,0)+ IF(AD21=13,F21,0)+ IF(AD22=13,F22,0)+ IF(AD23=13,F23,0)+ IF(AD24=13,F24,0)+ IF(AD25=13,F25,0)+ IF(AD26=13,F26,0)+ IF(AD27=13,F27,0)+ IF(AD28=13,F28,0)+ IF(AD29=13,F29,0)+ IF(AD30=13,F30,0)+ IF(AD31=13,F31,0)+ IF(AD32=13,F32,0)+ IF(AD33=13,F33,0)+ IF(AD34=13,F34,0)+ IF(AD35=13,F35,0)+ IF(AD36=13,F36,0)+ IF(AD37=13,F37,0)+ IF(AD38=13,F38,0)+ IF(AD39=13,F39,0)+ IF(AD40=13,F40,0)</f>
        <v>0</v>
      </c>
      <c r="AK23" s="66">
        <f>IF(AND(AJ23&gt;=0,AJ23&lt;100),AJ23*Data!$L$18+Data!$L$11,IF(AND(AJ23&gt;=100,AJ23&lt;1000),AJ23*Data!$L$19+Data!$L$12,IF(AND(AJ23&gt;=1000,AJ23&lt;10000),AJ23*Data!$L$20+Data!$L$13,IF(AND(AJ23&gt;=10000,AJ23&lt;100000),AJ23*Data!$L$21+Data!$L$14,IF(AND(AJ23&gt;=100000,AJ23&lt;1000000),AJ23*Data!$L$22+Data!$L$15,IF(AJ23&gt;=1000000,1,"?"))))))</f>
        <v>0.35</v>
      </c>
      <c r="AL23" s="3">
        <f t="shared" si="7"/>
        <v>0</v>
      </c>
    </row>
    <row r="24" spans="1:38" ht="14.5" x14ac:dyDescent="0.25">
      <c r="A24" s="7"/>
      <c r="B24" s="7" t="s">
        <v>63</v>
      </c>
      <c r="C24" s="7" t="str">
        <f>'Biodiversity Assessment'!G31</f>
        <v>Select land use</v>
      </c>
      <c r="D24" s="7">
        <f>'Biodiversity Assessment'!M31</f>
        <v>0</v>
      </c>
      <c r="E24" s="7" t="str">
        <f>'Biodiversity Assessment'!O31</f>
        <v>Select land use</v>
      </c>
      <c r="F24" s="54">
        <f>'Biodiversity Assessment'!U31</f>
        <v>0</v>
      </c>
      <c r="G24" s="27"/>
      <c r="H24" s="27"/>
      <c r="I24" s="27">
        <f>'Biodiversity Assessment'!BD31</f>
        <v>0</v>
      </c>
      <c r="J24" s="27">
        <f>'Biodiversity Assessment'!BF31</f>
        <v>0</v>
      </c>
      <c r="K24" s="16" t="str">
        <f>IF(C24=Data!$E$3,"?",IF(Biodiversity!C24=Data!$E$4,Data!$G$4,IF(Biodiversity!C24=Data!$E$5,Data!$G$5,IF(Biodiversity!C24=Data!$E$6,Data!$G$6,IF(Biodiversity!C24=Data!$E$7,Data!$G$7,IF(Biodiversity!C24=Data!$E$8,Data!$G$8,IF(Biodiversity!C24=Data!$E$9,Data!$G$9,IF(Biodiversity!C24=Data!$E$10,Data!$G$10,IF(Biodiversity!C24=Data!$E$11,Data!$G$11,IF(Biodiversity!C24=Data!$E$12,Data!$G$12,IF(Biodiversity!C24=Data!$E$13,Data!$G$13,IF(Biodiversity!C24=Data!$E$14,Data!$G$14,IF(Biodiversity!C24=Data!$E$15,Data!$G$15,IF(Biodiversity!C24=Data!$E$16,Data!$G$16,IF(Biodiversity!C24=Data!$E$17,Data!$G$17,IF(Biodiversity!C24=Data!$E$18,Data!$G$18,IF(Biodiversity!C24=Data!$E$19,Data!$G$19,IF(Biodiversity!C24=Data!$E$20,Data!$G$20,IF(Biodiversity!C24=Data!$E$21,Data!$G$21,"")))))))))))))))))))</f>
        <v>?</v>
      </c>
      <c r="L24" s="16" t="str">
        <f>IF(E24=Data!$E$3,"?",IF(Biodiversity!E24=Data!$E$4,Data!$G$4,IF(Biodiversity!E24=Data!$E$5,Data!$G$5,IF(Biodiversity!E24=Data!$E$6,Data!$G$6,IF(Biodiversity!E24=Data!$E$7,Data!$G$7,IF(Biodiversity!E24=Data!$E$8,Data!$G$8,IF(Biodiversity!E24=Data!$E$9,Data!$G$9,IF(Biodiversity!E24=Data!$E$10,Data!$G$10,IF(Biodiversity!E24=Data!$E$11,Data!$G$11,IF(Biodiversity!E24=Data!$E$12,Data!$G$12,IF(Biodiversity!E24=Data!$E$13,Data!$G$13,IF(Biodiversity!E24=Data!$E$14,Data!$G$14,IF(Biodiversity!E24=Data!$E$15,Data!$G$15,IF(Biodiversity!E24=Data!$E$16,Data!$G$16,IF(Biodiversity!E24=Data!$E$17,Data!$G$17,IF(Biodiversity!E24=Data!$E$18,Data!$G$18,IF(Biodiversity!E24=Data!$E$19,Data!$G$19,IF(Biodiversity!E24=Data!$E$20,Data!$G$20,IF(Biodiversity!E24=Data!$E$21,Data!$G$21,"")))))))))))))))))))</f>
        <v>?</v>
      </c>
      <c r="M24" s="16" t="str">
        <f t="shared" si="0"/>
        <v>?</v>
      </c>
      <c r="N24" s="16" t="str">
        <f t="shared" si="1"/>
        <v>?</v>
      </c>
      <c r="O24" s="15" t="str">
        <f t="shared" si="2"/>
        <v>?</v>
      </c>
      <c r="P24" s="15" t="str">
        <f t="shared" si="3"/>
        <v>?</v>
      </c>
      <c r="Q24" s="7"/>
      <c r="R24" s="26" t="str">
        <f>IFERROR(IF(AA24="A",K24,Biodiversity!K24*Biodiversity!M24*O24),"?")</f>
        <v>?</v>
      </c>
      <c r="S24" s="16" t="str">
        <f>IFERROR(IF(AC24="A",L24,Biodiversity!L24*Biodiversity!N24*P24),"?")</f>
        <v>?</v>
      </c>
      <c r="U24" s="15">
        <f t="shared" si="4"/>
        <v>0</v>
      </c>
      <c r="V24" s="15">
        <f t="shared" si="5"/>
        <v>0</v>
      </c>
      <c r="W24" s="15"/>
      <c r="X24" s="15">
        <f>'Biodiversity Assessment'!CH31</f>
        <v>0</v>
      </c>
      <c r="Y24" s="15">
        <f>'Biodiversity Assessment'!CJ31</f>
        <v>0</v>
      </c>
      <c r="Z24" s="15"/>
      <c r="AA24" s="15" t="str">
        <f>'Biodiversity Assessment'!J31</f>
        <v/>
      </c>
      <c r="AB24" s="67" t="str">
        <f>'Biodiversity Assessment'!K31</f>
        <v>?</v>
      </c>
      <c r="AC24" s="15" t="str">
        <f>'Biodiversity Assessment'!R31</f>
        <v/>
      </c>
      <c r="AD24" s="67" t="str">
        <f>'Biodiversity Assessment'!S31</f>
        <v>?</v>
      </c>
      <c r="AF24" s="58" t="s">
        <v>438</v>
      </c>
      <c r="AG24" s="46">
        <f>IF(AB11=14,D11,0)+ IF(AB12=14,D12,0)+ IF(AB13=14,D13,0)+ IF(AB14=14,D14,0)+ IF(AB15=14,D15,0)+ IF(AB16=14,D16,0)+ IF(AB17=14,D17,0)+ IF(AB18=14,D18,0)+ IF(AB19=14,D19,0)+ IF(AB20=14,D20,0)+ IF(AB21=14,D21,0)+ IF(AB22=14,D22,0)+ IF(AB23=14,D23,0)+ IF(AB24=14,D24,0)+ IF(AB25=14,D25,0)+ IF(AB26=14,D26,0)+ IF(AB27=14,D27,0)+ IF(AB28=14,D28,0)+ IF(AB29=14,D29,0)+ IF(AB30=14,D30,0)+ IF(AB31=14,D31,0)+ IF(AB32=14,D32,0)+ IF(AB33=14,D33,0)+ IF(AB34=14,D34,0)+ IF(AB35=14,D35,0)+ IF(AB36=14,D36,0)+ IF(AB37=14,D37,0)+ IF(AB38=14,D38,0)+ IF(AB39=14,D39,0)+ IF(AB40=14,D40,0)</f>
        <v>0</v>
      </c>
      <c r="AH24" s="62">
        <f>IF(AND(AG24&gt;=0,AG24&lt;100),AG24*Data!$L$18+Data!$L$11,IF(AND(AG24&gt;=100,AG24&lt;1000),AG24*Data!$L$19+Data!$L$12,IF(AND(AG24&gt;=1000,AG24&lt;10000),AG24*Data!$L$20+Data!$L$13,IF(AND(AG24&gt;=10000,AG24&lt;100000),AG24*Data!$L$21+Data!$L$14,IF(AND(AG24&gt;=100000,AG24&lt;1000000),AG24*Data!$L$22+Data!$L$15,IF(AG24&gt;=1000000,1,"?"))))))</f>
        <v>0.35</v>
      </c>
      <c r="AI24" s="76">
        <f t="shared" si="6"/>
        <v>0</v>
      </c>
      <c r="AJ24" s="66">
        <f>IF(AD11=14,F11,0)+ IF(AD12=14,F12,0)+ IF(AD13=14,F13,0)+ IF(AD14=14,F14,0)+ IF(AD15=14,F15,0)+ IF(AD16=14,F16,0)+ IF(AD17=14,F17,0)+ IF(AD18=14,F18,0)+ IF(AD19=14,F19,0)+ IF(AD20=14,F20,0)+ IF(AD21=14,F21,0)+ IF(AD22=14,F22,0)+ IF(AD23=14,F23,0)+ IF(AD24=14,F24,0)+ IF(AD25=14,F25,0)+ IF(AD26=14,F26,0)+ IF(AD27=14,F27,0)+ IF(AD28=14,F28,0)+ IF(AD29=14,F29,0)+ IF(AD30=14,F30,0)+ IF(AD31=14,F31,0)+ IF(AD32=14,F32,0)+ IF(AD33=14,F33,0)+ IF(AD34=14,F34,0)+ IF(AD35=14,F35,0)+ IF(AD36=14,F36,0)+ IF(AD37=14,F37,0)+ IF(AD38=14,F38,0)+ IF(AD39=14,F39,0)+ IF(AD40=14,F40,0)</f>
        <v>0</v>
      </c>
      <c r="AK24" s="66">
        <f>IF(AND(AJ24&gt;=0,AJ24&lt;100),AJ24*Data!$L$18+Data!$L$11,IF(AND(AJ24&gt;=100,AJ24&lt;1000),AJ24*Data!$L$19+Data!$L$12,IF(AND(AJ24&gt;=1000,AJ24&lt;10000),AJ24*Data!$L$20+Data!$L$13,IF(AND(AJ24&gt;=10000,AJ24&lt;100000),AJ24*Data!$L$21+Data!$L$14,IF(AND(AJ24&gt;=100000,AJ24&lt;1000000),AJ24*Data!$L$22+Data!$L$15,IF(AJ24&gt;=1000000,1,"?"))))))</f>
        <v>0.35</v>
      </c>
      <c r="AL24" s="3">
        <f t="shared" si="7"/>
        <v>0</v>
      </c>
    </row>
    <row r="25" spans="1:38" ht="14.5" x14ac:dyDescent="0.25">
      <c r="A25" s="7"/>
      <c r="B25" s="7" t="s">
        <v>64</v>
      </c>
      <c r="C25" s="7" t="str">
        <f>'Biodiversity Assessment'!G32</f>
        <v>Select land use</v>
      </c>
      <c r="D25" s="7">
        <f>'Biodiversity Assessment'!M32</f>
        <v>0</v>
      </c>
      <c r="E25" s="7" t="str">
        <f>'Biodiversity Assessment'!O32</f>
        <v>Select land use</v>
      </c>
      <c r="F25" s="54">
        <f>'Biodiversity Assessment'!U32</f>
        <v>0</v>
      </c>
      <c r="G25" s="27"/>
      <c r="H25" s="27"/>
      <c r="I25" s="27">
        <f>'Biodiversity Assessment'!BD32</f>
        <v>0</v>
      </c>
      <c r="J25" s="27">
        <f>'Biodiversity Assessment'!BF32</f>
        <v>0</v>
      </c>
      <c r="K25" s="16" t="str">
        <f>IF(C25=Data!$E$3,"?",IF(Biodiversity!C25=Data!$E$4,Data!$G$4,IF(Biodiversity!C25=Data!$E$5,Data!$G$5,IF(Biodiversity!C25=Data!$E$6,Data!$G$6,IF(Biodiversity!C25=Data!$E$7,Data!$G$7,IF(Biodiversity!C25=Data!$E$8,Data!$G$8,IF(Biodiversity!C25=Data!$E$9,Data!$G$9,IF(Biodiversity!C25=Data!$E$10,Data!$G$10,IF(Biodiversity!C25=Data!$E$11,Data!$G$11,IF(Biodiversity!C25=Data!$E$12,Data!$G$12,IF(Biodiversity!C25=Data!$E$13,Data!$G$13,IF(Biodiversity!C25=Data!$E$14,Data!$G$14,IF(Biodiversity!C25=Data!$E$15,Data!$G$15,IF(Biodiversity!C25=Data!$E$16,Data!$G$16,IF(Biodiversity!C25=Data!$E$17,Data!$G$17,IF(Biodiversity!C25=Data!$E$18,Data!$G$18,IF(Biodiversity!C25=Data!$E$19,Data!$G$19,IF(Biodiversity!C25=Data!$E$20,Data!$G$20,IF(Biodiversity!C25=Data!$E$21,Data!$G$21,"")))))))))))))))))))</f>
        <v>?</v>
      </c>
      <c r="L25" s="16" t="str">
        <f>IF(E25=Data!$E$3,"?",IF(Biodiversity!E25=Data!$E$4,Data!$G$4,IF(Biodiversity!E25=Data!$E$5,Data!$G$5,IF(Biodiversity!E25=Data!$E$6,Data!$G$6,IF(Biodiversity!E25=Data!$E$7,Data!$G$7,IF(Biodiversity!E25=Data!$E$8,Data!$G$8,IF(Biodiversity!E25=Data!$E$9,Data!$G$9,IF(Biodiversity!E25=Data!$E$10,Data!$G$10,IF(Biodiversity!E25=Data!$E$11,Data!$G$11,IF(Biodiversity!E25=Data!$E$12,Data!$G$12,IF(Biodiversity!E25=Data!$E$13,Data!$G$13,IF(Biodiversity!E25=Data!$E$14,Data!$G$14,IF(Biodiversity!E25=Data!$E$15,Data!$G$15,IF(Biodiversity!E25=Data!$E$16,Data!$G$16,IF(Biodiversity!E25=Data!$E$17,Data!$G$17,IF(Biodiversity!E25=Data!$E$18,Data!$G$18,IF(Biodiversity!E25=Data!$E$19,Data!$G$19,IF(Biodiversity!E25=Data!$E$20,Data!$G$20,IF(Biodiversity!E25=Data!$E$21,Data!$G$21,"")))))))))))))))))))</f>
        <v>?</v>
      </c>
      <c r="M25" s="16" t="str">
        <f t="shared" si="0"/>
        <v>?</v>
      </c>
      <c r="N25" s="16" t="str">
        <f t="shared" si="1"/>
        <v>?</v>
      </c>
      <c r="O25" s="15" t="str">
        <f t="shared" si="2"/>
        <v>?</v>
      </c>
      <c r="P25" s="15" t="str">
        <f t="shared" si="3"/>
        <v>?</v>
      </c>
      <c r="Q25" s="7"/>
      <c r="R25" s="26" t="str">
        <f>IFERROR(IF(AA25="A",K25,Biodiversity!K25*Biodiversity!M25*O25),"?")</f>
        <v>?</v>
      </c>
      <c r="S25" s="16" t="str">
        <f>IFERROR(IF(AC25="A",L25,Biodiversity!L25*Biodiversity!N25*P25),"?")</f>
        <v>?</v>
      </c>
      <c r="U25" s="15">
        <f t="shared" si="4"/>
        <v>0</v>
      </c>
      <c r="V25" s="15">
        <f t="shared" si="5"/>
        <v>0</v>
      </c>
      <c r="W25" s="15"/>
      <c r="X25" s="15">
        <f>'Biodiversity Assessment'!CH32</f>
        <v>0</v>
      </c>
      <c r="Y25" s="15">
        <f>'Biodiversity Assessment'!CJ32</f>
        <v>0</v>
      </c>
      <c r="Z25" s="15"/>
      <c r="AA25" s="15" t="str">
        <f>'Biodiversity Assessment'!J32</f>
        <v/>
      </c>
      <c r="AB25" s="67" t="str">
        <f>'Biodiversity Assessment'!K32</f>
        <v>?</v>
      </c>
      <c r="AC25" s="15" t="str">
        <f>'Biodiversity Assessment'!R32</f>
        <v/>
      </c>
      <c r="AD25" s="67" t="str">
        <f>'Biodiversity Assessment'!S32</f>
        <v>?</v>
      </c>
      <c r="AF25" s="58" t="s">
        <v>439</v>
      </c>
      <c r="AG25" s="60">
        <f>IF(AB11=15,D11,0)+ IF(AB12=15,D12,0)+ IF(AB13=15,D13,0)+ IF(AB14=15,D14,0)+ IF(AB15=15,D15,0)+ IF(AB16=15,D16,0)+ IF(AB17=15,D17,0)+ IF(AB18=15,D18,0)+ IF(AB19=15,D19,0)+ IF(AB20=15,D20,0)+ IF(AB21=15,D21,0)+ IF(AB22=15,D22,0)+ IF(AB23=15,D23,0)+ IF(AB24=15,D24,0)+ IF(AB25=15,D25,0)+ IF(AB26=15,D26,0)+ IF(AB27=15,D27,0)+ IF(AB28=15,D28,0)+ IF(AB29=15,D29,0)+ IF(AB30=15,D30,0)+ IF(AB31=15,D31,0)+ IF(AB32=15,D32,0)+ IF(AB33=15,D33,0)+ IF(AB34=15,D34,0)+ IF(AB35=15,D35,0)+ IF(AB36=15,D36,0)+ IF(AB37=15,D37,0)+ IF(AB38=15,D38,0)+ IF(AB39=15,D39,0)+ IF(AB40=15,D40,0)</f>
        <v>0</v>
      </c>
      <c r="AH25" s="62">
        <f>IF(AND(AG25&gt;=0,AG25&lt;100),AG25*Data!$L$18+Data!$L$11,IF(AND(AG25&gt;=100,AG25&lt;1000),AG25*Data!$L$19+Data!$L$12,IF(AND(AG25&gt;=1000,AG25&lt;10000),AG25*Data!$L$20+Data!$L$13,IF(AND(AG25&gt;=10000,AG25&lt;100000),AG25*Data!$L$21+Data!$L$14,IF(AND(AG25&gt;=100000,AG25&lt;1000000),AG25*Data!$L$22+Data!$L$15,IF(AG25&gt;=1000000,1,"?"))))))</f>
        <v>0.35</v>
      </c>
      <c r="AI25" s="76">
        <f t="shared" si="6"/>
        <v>0</v>
      </c>
      <c r="AJ25" s="66">
        <f>IF(AD11=15,F11,0)+ IF(AD12=15,F12,0)+ IF(AD13=15,F13,0)+ IF(AD14=15,F14,0)+ IF(AD15=15,F15,0)+ IF(AD16=15,F16,0)+ IF(AD17=15,F17,0)+ IF(AD18=15,F18,0)+ IF(AD19=15,F19,0)+ IF(AD20=15,F20,0)+ IF(AD21=15,F21,0)+ IF(AD22=15,F22,0)+ IF(AD23=15,F23,0)+ IF(AD24=15,F24,0)+ IF(AD25=15,F25,0)+ IF(AD26=15,F26,0)+ IF(AD27=15,F27,0)+ IF(AD28=15,F28,0)+ IF(AD29=15,F29,0)+ IF(AD30=15,F30,0)+ IF(AD31=15,F31,0)+ IF(AD32=15,F32,0)+ IF(AD33=15,F33,0)+ IF(AD34=15,F34,0)+ IF(AD35=15,F35,0)+ IF(AD36=15,F36,0)+ IF(AD37=15,F37,0)+ IF(AD38=15,F38,0)+ IF(AD39=15,F39,0)+ IF(AD40=15,F40,0)</f>
        <v>0</v>
      </c>
      <c r="AK25" s="66">
        <f>IF(AND(AJ25&gt;=0,AJ25&lt;100),AJ25*Data!$L$18+Data!$L$11,IF(AND(AJ25&gt;=100,AJ25&lt;1000),AJ25*Data!$L$19+Data!$L$12,IF(AND(AJ25&gt;=1000,AJ25&lt;10000),AJ25*Data!$L$20+Data!$L$13,IF(AND(AJ25&gt;=10000,AJ25&lt;100000),AJ25*Data!$L$21+Data!$L$14,IF(AND(AJ25&gt;=100000,AJ25&lt;1000000),AJ25*Data!$L$22+Data!$L$15,IF(AJ25&gt;=1000000,1,"?"))))))</f>
        <v>0.35</v>
      </c>
      <c r="AL25" s="3">
        <f t="shared" si="7"/>
        <v>0</v>
      </c>
    </row>
    <row r="26" spans="1:38" ht="14.5" x14ac:dyDescent="0.25">
      <c r="A26" s="7"/>
      <c r="B26" s="7" t="s">
        <v>65</v>
      </c>
      <c r="C26" s="7" t="str">
        <f>'Biodiversity Assessment'!G33</f>
        <v>Select land use</v>
      </c>
      <c r="D26" s="7">
        <f>'Biodiversity Assessment'!M33</f>
        <v>0</v>
      </c>
      <c r="E26" s="7" t="str">
        <f>'Biodiversity Assessment'!O33</f>
        <v>Select land use</v>
      </c>
      <c r="F26" s="54">
        <f>'Biodiversity Assessment'!U33</f>
        <v>0</v>
      </c>
      <c r="G26" s="27"/>
      <c r="H26" s="27"/>
      <c r="I26" s="27">
        <f>'Biodiversity Assessment'!BD33</f>
        <v>0</v>
      </c>
      <c r="J26" s="27">
        <f>'Biodiversity Assessment'!BF33</f>
        <v>0</v>
      </c>
      <c r="K26" s="16" t="str">
        <f>IF(C26=Data!$E$3,"?",IF(Biodiversity!C26=Data!$E$4,Data!$G$4,IF(Biodiversity!C26=Data!$E$5,Data!$G$5,IF(Biodiversity!C26=Data!$E$6,Data!$G$6,IF(Biodiversity!C26=Data!$E$7,Data!$G$7,IF(Biodiversity!C26=Data!$E$8,Data!$G$8,IF(Biodiversity!C26=Data!$E$9,Data!$G$9,IF(Biodiversity!C26=Data!$E$10,Data!$G$10,IF(Biodiversity!C26=Data!$E$11,Data!$G$11,IF(Biodiversity!C26=Data!$E$12,Data!$G$12,IF(Biodiversity!C26=Data!$E$13,Data!$G$13,IF(Biodiversity!C26=Data!$E$14,Data!$G$14,IF(Biodiversity!C26=Data!$E$15,Data!$G$15,IF(Biodiversity!C26=Data!$E$16,Data!$G$16,IF(Biodiversity!C26=Data!$E$17,Data!$G$17,IF(Biodiversity!C26=Data!$E$18,Data!$G$18,IF(Biodiversity!C26=Data!$E$19,Data!$G$19,IF(Biodiversity!C26=Data!$E$20,Data!$G$20,IF(Biodiversity!C26=Data!$E$21,Data!$G$21,"")))))))))))))))))))</f>
        <v>?</v>
      </c>
      <c r="L26" s="16" t="str">
        <f>IF(E26=Data!$E$3,"?",IF(Biodiversity!E26=Data!$E$4,Data!$G$4,IF(Biodiversity!E26=Data!$E$5,Data!$G$5,IF(Biodiversity!E26=Data!$E$6,Data!$G$6,IF(Biodiversity!E26=Data!$E$7,Data!$G$7,IF(Biodiversity!E26=Data!$E$8,Data!$G$8,IF(Biodiversity!E26=Data!$E$9,Data!$G$9,IF(Biodiversity!E26=Data!$E$10,Data!$G$10,IF(Biodiversity!E26=Data!$E$11,Data!$G$11,IF(Biodiversity!E26=Data!$E$12,Data!$G$12,IF(Biodiversity!E26=Data!$E$13,Data!$G$13,IF(Biodiversity!E26=Data!$E$14,Data!$G$14,IF(Biodiversity!E26=Data!$E$15,Data!$G$15,IF(Biodiversity!E26=Data!$E$16,Data!$G$16,IF(Biodiversity!E26=Data!$E$17,Data!$G$17,IF(Biodiversity!E26=Data!$E$18,Data!$G$18,IF(Biodiversity!E26=Data!$E$19,Data!$G$19,IF(Biodiversity!E26=Data!$E$20,Data!$G$20,IF(Biodiversity!E26=Data!$E$21,Data!$G$21,"")))))))))))))))))))</f>
        <v>?</v>
      </c>
      <c r="M26" s="16" t="str">
        <f t="shared" si="0"/>
        <v>?</v>
      </c>
      <c r="N26" s="16" t="str">
        <f t="shared" si="1"/>
        <v>?</v>
      </c>
      <c r="O26" s="15" t="str">
        <f t="shared" si="2"/>
        <v>?</v>
      </c>
      <c r="P26" s="15" t="str">
        <f t="shared" si="3"/>
        <v>?</v>
      </c>
      <c r="Q26" s="7"/>
      <c r="R26" s="26" t="str">
        <f>IFERROR(IF(AA26="A",K26,Biodiversity!K26*Biodiversity!M26*O26),"?")</f>
        <v>?</v>
      </c>
      <c r="S26" s="16" t="str">
        <f>IFERROR(IF(AC26="A",L26,Biodiversity!L26*Biodiversity!N26*P26),"?")</f>
        <v>?</v>
      </c>
      <c r="U26" s="15">
        <f t="shared" si="4"/>
        <v>0</v>
      </c>
      <c r="V26" s="15">
        <f t="shared" si="5"/>
        <v>0</v>
      </c>
      <c r="W26" s="15"/>
      <c r="X26" s="15">
        <f>'Biodiversity Assessment'!CH33</f>
        <v>0</v>
      </c>
      <c r="Y26" s="15">
        <f>'Biodiversity Assessment'!CJ33</f>
        <v>0</v>
      </c>
      <c r="Z26" s="15"/>
      <c r="AA26" s="15" t="str">
        <f>'Biodiversity Assessment'!J33</f>
        <v/>
      </c>
      <c r="AB26" s="67" t="str">
        <f>'Biodiversity Assessment'!K33</f>
        <v>?</v>
      </c>
      <c r="AC26" s="15" t="str">
        <f>'Biodiversity Assessment'!R33</f>
        <v/>
      </c>
      <c r="AD26" s="67" t="str">
        <f>'Biodiversity Assessment'!S33</f>
        <v>?</v>
      </c>
      <c r="AF26" s="58" t="s">
        <v>440</v>
      </c>
      <c r="AG26" s="46">
        <f>IF(AB11=16,D11,0)+ IF(AB12=16,D12,0)+ IF(AB13=16,D13,0)+ IF(AB14=16,D14,0)+ IF(AB15=16,D15,0)+ IF(AB16=16,D16,0)+ IF(AB17=16,D17,0)+ IF(AB18=16,D18,0)+ IF(AB19=16,D19,0)+ IF(AB20=16,D20,0)+ IF(AB21=16,D21,0)+ IF(AB22=16,D22,0)+ IF(AB23=16,D23,0)+ IF(AB24=16,D24,0)+ IF(AB25=16,D25,0)+ IF(AB26=16,D26,0)+ IF(AB27=16,D27,0)+ IF(AB28=16,D28,0)+ IF(AB29=16,D29,0)+ IF(AB30=16,D30,0)+ IF(AB31=16,D31,0)+ IF(AB32=16,D32,0)+ IF(AB33=16,D33,0)+ IF(AB34=16,D34,0)+ IF(AB35=16,D35,0)+ IF(AB36=16,D36,0)+ IF(AB37=16,D37,0)+ IF(AB38=16,D38,0)+ IF(AB39=16,D39,0)+ IF(AB40=16,D40,0)</f>
        <v>0</v>
      </c>
      <c r="AH26" s="62">
        <f>IF(AND(AG26&gt;=0,AG26&lt;100),AG26*Data!$L$18+Data!$L$11,IF(AND(AG26&gt;=100,AG26&lt;1000),AG26*Data!$L$19+Data!$L$12,IF(AND(AG26&gt;=1000,AG26&lt;10000),AG26*Data!$L$20+Data!$L$13,IF(AND(AG26&gt;=10000,AG26&lt;100000),AG26*Data!$L$21+Data!$L$14,IF(AND(AG26&gt;=100000,AG26&lt;1000000),AG26*Data!$L$22+Data!$L$15,IF(AG26&gt;=1000000,1,"?"))))))</f>
        <v>0.35</v>
      </c>
      <c r="AI26" s="76">
        <f t="shared" si="6"/>
        <v>0</v>
      </c>
      <c r="AJ26" s="66">
        <f>IF(AD11=16,F11,0)+ IF(AD12=16,F12,0)+ IF(AD13=16,F13,0)+ IF(AD14=16,F14,0)+ IF(AD15=16,F15,0)+ IF(AD16=16,F16,0)+ IF(AD17=16,F17,0)+ IF(AD18=16,F18,0)+ IF(AD19=16,F19,0)+ IF(AD20=16,F20,0)+ IF(AD21=16,F21,0)+ IF(AD22=16,F22,0)+ IF(AD23=16,F23,0)+ IF(AD24=16,F24,0)+ IF(AD25=16,F25,0)+ IF(AD26=16,F26,0)+ IF(AD27=16,F27,0)+ IF(AD28=16,F28,0)+ IF(AD29=16,F29,0)+ IF(AD30=16,F30,0)+ IF(AD31=16,F31,0)+ IF(AD32=16,F32,0)+ IF(AD33=16,F33,0)+ IF(AD34=16,F34,0)+ IF(AD35=16,F35,0)+ IF(AD36=16,F36,0)+ IF(AD37=16,F37,0)+ IF(AD38=16,F38,0)+ IF(AD39=16,F39,0)+ IF(AD40=16,F40,0)</f>
        <v>0</v>
      </c>
      <c r="AK26" s="66">
        <f>IF(AND(AJ26&gt;=0,AJ26&lt;100),AJ26*Data!$L$18+Data!$L$11,IF(AND(AJ26&gt;=100,AJ26&lt;1000),AJ26*Data!$L$19+Data!$L$12,IF(AND(AJ26&gt;=1000,AJ26&lt;10000),AJ26*Data!$L$20+Data!$L$13,IF(AND(AJ26&gt;=10000,AJ26&lt;100000),AJ26*Data!$L$21+Data!$L$14,IF(AND(AJ26&gt;=100000,AJ26&lt;1000000),AJ26*Data!$L$22+Data!$L$15,IF(AJ26&gt;=1000000,1,"?"))))))</f>
        <v>0.35</v>
      </c>
      <c r="AL26" s="3">
        <f t="shared" si="7"/>
        <v>0</v>
      </c>
    </row>
    <row r="27" spans="1:38" ht="14.5" x14ac:dyDescent="0.25">
      <c r="A27" s="7"/>
      <c r="B27" s="7" t="s">
        <v>66</v>
      </c>
      <c r="C27" s="7" t="str">
        <f>'Biodiversity Assessment'!G34</f>
        <v>Select land use</v>
      </c>
      <c r="D27" s="7">
        <f>'Biodiversity Assessment'!M34</f>
        <v>0</v>
      </c>
      <c r="E27" s="7" t="str">
        <f>'Biodiversity Assessment'!O34</f>
        <v>Select land use</v>
      </c>
      <c r="F27" s="54">
        <f>'Biodiversity Assessment'!U34</f>
        <v>0</v>
      </c>
      <c r="G27" s="27"/>
      <c r="H27" s="27"/>
      <c r="I27" s="27">
        <f>'Biodiversity Assessment'!BD34</f>
        <v>0</v>
      </c>
      <c r="J27" s="27">
        <f>'Biodiversity Assessment'!BF34</f>
        <v>0</v>
      </c>
      <c r="K27" s="16" t="str">
        <f>IF(C27=Data!$E$3,"?",IF(Biodiversity!C27=Data!$E$4,Data!$G$4,IF(Biodiversity!C27=Data!$E$5,Data!$G$5,IF(Biodiversity!C27=Data!$E$6,Data!$G$6,IF(Biodiversity!C27=Data!$E$7,Data!$G$7,IF(Biodiversity!C27=Data!$E$8,Data!$G$8,IF(Biodiversity!C27=Data!$E$9,Data!$G$9,IF(Biodiversity!C27=Data!$E$10,Data!$G$10,IF(Biodiversity!C27=Data!$E$11,Data!$G$11,IF(Biodiversity!C27=Data!$E$12,Data!$G$12,IF(Biodiversity!C27=Data!$E$13,Data!$G$13,IF(Biodiversity!C27=Data!$E$14,Data!$G$14,IF(Biodiversity!C27=Data!$E$15,Data!$G$15,IF(Biodiversity!C27=Data!$E$16,Data!$G$16,IF(Biodiversity!C27=Data!$E$17,Data!$G$17,IF(Biodiversity!C27=Data!$E$18,Data!$G$18,IF(Biodiversity!C27=Data!$E$19,Data!$G$19,IF(Biodiversity!C27=Data!$E$20,Data!$G$20,IF(Biodiversity!C27=Data!$E$21,Data!$G$21,"")))))))))))))))))))</f>
        <v>?</v>
      </c>
      <c r="L27" s="16" t="str">
        <f>IF(E27=Data!$E$3,"?",IF(Biodiversity!E27=Data!$E$4,Data!$G$4,IF(Biodiversity!E27=Data!$E$5,Data!$G$5,IF(Biodiversity!E27=Data!$E$6,Data!$G$6,IF(Biodiversity!E27=Data!$E$7,Data!$G$7,IF(Biodiversity!E27=Data!$E$8,Data!$G$8,IF(Biodiversity!E27=Data!$E$9,Data!$G$9,IF(Biodiversity!E27=Data!$E$10,Data!$G$10,IF(Biodiversity!E27=Data!$E$11,Data!$G$11,IF(Biodiversity!E27=Data!$E$12,Data!$G$12,IF(Biodiversity!E27=Data!$E$13,Data!$G$13,IF(Biodiversity!E27=Data!$E$14,Data!$G$14,IF(Biodiversity!E27=Data!$E$15,Data!$G$15,IF(Biodiversity!E27=Data!$E$16,Data!$G$16,IF(Biodiversity!E27=Data!$E$17,Data!$G$17,IF(Biodiversity!E27=Data!$E$18,Data!$G$18,IF(Biodiversity!E27=Data!$E$19,Data!$G$19,IF(Biodiversity!E27=Data!$E$20,Data!$G$20,IF(Biodiversity!E27=Data!$E$21,Data!$G$21,"")))))))))))))))))))</f>
        <v>?</v>
      </c>
      <c r="M27" s="16" t="str">
        <f t="shared" si="0"/>
        <v>?</v>
      </c>
      <c r="N27" s="16" t="str">
        <f t="shared" si="1"/>
        <v>?</v>
      </c>
      <c r="O27" s="15" t="str">
        <f t="shared" si="2"/>
        <v>?</v>
      </c>
      <c r="P27" s="15" t="str">
        <f t="shared" si="3"/>
        <v>?</v>
      </c>
      <c r="Q27" s="7"/>
      <c r="R27" s="26" t="str">
        <f>IFERROR(IF(AA27="A",K27,Biodiversity!K27*Biodiversity!M27*O27),"?")</f>
        <v>?</v>
      </c>
      <c r="S27" s="16" t="str">
        <f>IFERROR(IF(AC27="A",L27,Biodiversity!L27*Biodiversity!N27*P27),"?")</f>
        <v>?</v>
      </c>
      <c r="U27" s="15">
        <f t="shared" si="4"/>
        <v>0</v>
      </c>
      <c r="V27" s="15">
        <f t="shared" si="5"/>
        <v>0</v>
      </c>
      <c r="W27" s="15"/>
      <c r="X27" s="15">
        <f>'Biodiversity Assessment'!CH34</f>
        <v>0</v>
      </c>
      <c r="Y27" s="15">
        <f>'Biodiversity Assessment'!CJ34</f>
        <v>0</v>
      </c>
      <c r="Z27" s="15"/>
      <c r="AA27" s="15" t="str">
        <f>'Biodiversity Assessment'!J34</f>
        <v/>
      </c>
      <c r="AB27" s="67" t="str">
        <f>'Biodiversity Assessment'!K34</f>
        <v>?</v>
      </c>
      <c r="AC27" s="15" t="str">
        <f>'Biodiversity Assessment'!R34</f>
        <v/>
      </c>
      <c r="AD27" s="67" t="str">
        <f>'Biodiversity Assessment'!S34</f>
        <v>?</v>
      </c>
      <c r="AF27" s="58" t="s">
        <v>441</v>
      </c>
      <c r="AG27" s="60">
        <f>IF(AB11=17,D11,0)+ IF(AB12=17,D12,0)+ IF(AB13=17,D13,0)+ IF(AB14=17,D14,0)+ IF(AB15=17,D15,0)+ IF(AB16=17,D16,0)+ IF(AB17=17,D17,0)+ IF(AB18=17,D18,0)+ IF(AB19=17,D19,0)+ IF(AB20=17,D20,0)+ IF(AB21=17,D21,0)+ IF(AB22=17,D22,0)+ IF(AB23=17,D23,0)+ IF(AB24=17,D24,0)+ IF(AB25=17,D25,0)+ IF(AB26=17,D26,0)+ IF(AB27=17,D27,0)+ IF(AB28=17,D28,0)+ IF(AB29=17,D29,0)+ IF(AB30=17,D30,0)+ IF(AB31=17,D31,0)+ IF(AB32=17,D32,0)+ IF(AB33=17,D33,0)+ IF(AB34=17,D34,0)+ IF(AB35=17,D35,0)+ IF(AB36=17,D36,0)+ IF(AB37=17,D37,0)+ IF(AB38=17,D38,0)+ IF(AB39=17,D39,0)+ IF(AB40=17,D40,0)</f>
        <v>0</v>
      </c>
      <c r="AH27" s="62">
        <f>IF(AND(AG27&gt;=0,AG27&lt;100),AG27*Data!$L$18+Data!$L$11,IF(AND(AG27&gt;=100,AG27&lt;1000),AG27*Data!$L$19+Data!$L$12,IF(AND(AG27&gt;=1000,AG27&lt;10000),AG27*Data!$L$20+Data!$L$13,IF(AND(AG27&gt;=10000,AG27&lt;100000),AG27*Data!$L$21+Data!$L$14,IF(AND(AG27&gt;=100000,AG27&lt;1000000),AG27*Data!$L$22+Data!$L$15,IF(AG27&gt;=1000000,1,"?"))))))</f>
        <v>0.35</v>
      </c>
      <c r="AI27" s="76">
        <f t="shared" si="6"/>
        <v>0</v>
      </c>
      <c r="AJ27" s="66">
        <f>IF(AD11=17,F11,0)+ IF(AD12=17,F12,0)+ IF(AD13=17,F13,0)+ IF(AD14=17,F14,0)+ IF(AD15=17,F15,0)+ IF(AD16=17,F16,0)+ IF(AD17=17,F17,0)+ IF(AD18=17,F18,0)+ IF(AD19=17,F19,0)+ IF(AD20=17,F20,0)+ IF(AD21=17,F21,0)+ IF(AD22=17,F22,0)+ IF(AD23=17,F23,0)+ IF(AD24=17,F24,0)+ IF(AD25=17,F25,0)+ IF(AD26=17,F26,0)+ IF(AD27=17,F27,0)+ IF(AD28=17,F28,0)+ IF(AD29=17,F29,0)+ IF(AD30=17,F30,0)+ IF(AD31=17,F31,0)+ IF(AD32=17,F32,0)+ IF(AD33=17,F33,0)+ IF(AD34=17,F34,0)+ IF(AD35=17,F35,0)+ IF(AD36=17,F36,0)+ IF(AD37=17,F37,0)+ IF(AD38=17,F38,0)+ IF(AD39=17,F39,0)+ IF(AD40=17,F40,0)</f>
        <v>0</v>
      </c>
      <c r="AK27" s="66">
        <f>IF(AND(AJ27&gt;=0,AJ27&lt;100),AJ27*Data!$L$18+Data!$L$11,IF(AND(AJ27&gt;=100,AJ27&lt;1000),AJ27*Data!$L$19+Data!$L$12,IF(AND(AJ27&gt;=1000,AJ27&lt;10000),AJ27*Data!$L$20+Data!$L$13,IF(AND(AJ27&gt;=10000,AJ27&lt;100000),AJ27*Data!$L$21+Data!$L$14,IF(AND(AJ27&gt;=100000,AJ27&lt;1000000),AJ27*Data!$L$22+Data!$L$15,IF(AJ27&gt;=1000000,1,"?"))))))</f>
        <v>0.35</v>
      </c>
      <c r="AL27" s="3">
        <f t="shared" si="7"/>
        <v>0</v>
      </c>
    </row>
    <row r="28" spans="1:38" ht="14.5" x14ac:dyDescent="0.25">
      <c r="A28" s="7"/>
      <c r="B28" s="7" t="s">
        <v>67</v>
      </c>
      <c r="C28" s="7" t="str">
        <f>'Biodiversity Assessment'!G35</f>
        <v>Select land use</v>
      </c>
      <c r="D28" s="7">
        <f>'Biodiversity Assessment'!M35</f>
        <v>0</v>
      </c>
      <c r="E28" s="7" t="str">
        <f>'Biodiversity Assessment'!O35</f>
        <v>Select land use</v>
      </c>
      <c r="F28" s="54">
        <f>'Biodiversity Assessment'!U35</f>
        <v>0</v>
      </c>
      <c r="G28" s="27"/>
      <c r="H28" s="27"/>
      <c r="I28" s="27">
        <f>'Biodiversity Assessment'!BD35</f>
        <v>0</v>
      </c>
      <c r="J28" s="27">
        <f>'Biodiversity Assessment'!BF35</f>
        <v>0</v>
      </c>
      <c r="K28" s="16" t="str">
        <f>IF(C28=Data!$E$3,"?",IF(Biodiversity!C28=Data!$E$4,Data!$G$4,IF(Biodiversity!C28=Data!$E$5,Data!$G$5,IF(Biodiversity!C28=Data!$E$6,Data!$G$6,IF(Biodiversity!C28=Data!$E$7,Data!$G$7,IF(Biodiversity!C28=Data!$E$8,Data!$G$8,IF(Biodiversity!C28=Data!$E$9,Data!$G$9,IF(Biodiversity!C28=Data!$E$10,Data!$G$10,IF(Biodiversity!C28=Data!$E$11,Data!$G$11,IF(Biodiversity!C28=Data!$E$12,Data!$G$12,IF(Biodiversity!C28=Data!$E$13,Data!$G$13,IF(Biodiversity!C28=Data!$E$14,Data!$G$14,IF(Biodiversity!C28=Data!$E$15,Data!$G$15,IF(Biodiversity!C28=Data!$E$16,Data!$G$16,IF(Biodiversity!C28=Data!$E$17,Data!$G$17,IF(Biodiversity!C28=Data!$E$18,Data!$G$18,IF(Biodiversity!C28=Data!$E$19,Data!$G$19,IF(Biodiversity!C28=Data!$E$20,Data!$G$20,IF(Biodiversity!C28=Data!$E$21,Data!$G$21,"")))))))))))))))))))</f>
        <v>?</v>
      </c>
      <c r="L28" s="16" t="str">
        <f>IF(E28=Data!$E$3,"?",IF(Biodiversity!E28=Data!$E$4,Data!$G$4,IF(Biodiversity!E28=Data!$E$5,Data!$G$5,IF(Biodiversity!E28=Data!$E$6,Data!$G$6,IF(Biodiversity!E28=Data!$E$7,Data!$G$7,IF(Biodiversity!E28=Data!$E$8,Data!$G$8,IF(Biodiversity!E28=Data!$E$9,Data!$G$9,IF(Biodiversity!E28=Data!$E$10,Data!$G$10,IF(Biodiversity!E28=Data!$E$11,Data!$G$11,IF(Biodiversity!E28=Data!$E$12,Data!$G$12,IF(Biodiversity!E28=Data!$E$13,Data!$G$13,IF(Biodiversity!E28=Data!$E$14,Data!$G$14,IF(Biodiversity!E28=Data!$E$15,Data!$G$15,IF(Biodiversity!E28=Data!$E$16,Data!$G$16,IF(Biodiversity!E28=Data!$E$17,Data!$G$17,IF(Biodiversity!E28=Data!$E$18,Data!$G$18,IF(Biodiversity!E28=Data!$E$19,Data!$G$19,IF(Biodiversity!E28=Data!$E$20,Data!$G$20,IF(Biodiversity!E28=Data!$E$21,Data!$G$21,"")))))))))))))))))))</f>
        <v>?</v>
      </c>
      <c r="M28" s="16" t="str">
        <f t="shared" si="0"/>
        <v>?</v>
      </c>
      <c r="N28" s="16" t="str">
        <f t="shared" si="1"/>
        <v>?</v>
      </c>
      <c r="O28" s="15" t="str">
        <f t="shared" si="2"/>
        <v>?</v>
      </c>
      <c r="P28" s="15" t="str">
        <f t="shared" si="3"/>
        <v>?</v>
      </c>
      <c r="Q28" s="7"/>
      <c r="R28" s="26" t="str">
        <f>IFERROR(IF(AA28="A",K28,Biodiversity!K28*Biodiversity!M28*O28),"?")</f>
        <v>?</v>
      </c>
      <c r="S28" s="16" t="str">
        <f>IFERROR(IF(AC28="A",L28,Biodiversity!L28*Biodiversity!N28*P28),"?")</f>
        <v>?</v>
      </c>
      <c r="U28" s="15">
        <f t="shared" si="4"/>
        <v>0</v>
      </c>
      <c r="V28" s="15">
        <f t="shared" si="5"/>
        <v>0</v>
      </c>
      <c r="W28" s="15"/>
      <c r="X28" s="15">
        <f>'Biodiversity Assessment'!CH35</f>
        <v>0</v>
      </c>
      <c r="Y28" s="15">
        <f>'Biodiversity Assessment'!CJ35</f>
        <v>0</v>
      </c>
      <c r="Z28" s="15"/>
      <c r="AA28" s="15" t="str">
        <f>'Biodiversity Assessment'!J35</f>
        <v/>
      </c>
      <c r="AB28" s="67" t="str">
        <f>'Biodiversity Assessment'!K35</f>
        <v>?</v>
      </c>
      <c r="AC28" s="15" t="str">
        <f>'Biodiversity Assessment'!R35</f>
        <v/>
      </c>
      <c r="AD28" s="67" t="str">
        <f>'Biodiversity Assessment'!S35</f>
        <v>?</v>
      </c>
      <c r="AF28" s="58" t="s">
        <v>442</v>
      </c>
      <c r="AG28" s="46">
        <f>IF(AB11=18,D11,0)+ IF(AB12=18,D12,0)+ IF(AB13=18,D13,0)+ IF(AB14=18,D14,0)+ IF(AB15=18,D15,0)+ IF(AB16=18,D16,0)+ IF(AB17=18,D17,0)+ IF(AB18=18,D18,0)+ IF(AB19=18,D19,0)+ IF(AB20=18,D20,0)+ IF(AB21=18,D21,0)+ IF(AB22=18,D22,0)+ IF(AB23=18,D23,0)+ IF(AB24=18,D24,0)+ IF(AB25=18,D25,0)+ IF(AB26=18,D26,0)+ IF(AB27=18,D27,0)+ IF(AB28=18,D28,0)+ IF(AB29=18,D29,0)+ IF(AB30=18,D30,0)+ IF(AB31=18,D31,0)+ IF(AB32=18,D32,0)+ IF(AB33=18,D33,0)+ IF(AB34=18,D34,0)+ IF(AB35=18,D35,0)+ IF(AB36=18,D36,0)+ IF(AB37=18,D37,0)+ IF(AB38=18,D38,0)+ IF(AB39=18,D39,0)+ IF(AB40=18,D40,0)</f>
        <v>0</v>
      </c>
      <c r="AH28" s="62">
        <f>IF(AND(AG28&gt;=0,AG28&lt;100),AG28*Data!$L$18+Data!$L$11,IF(AND(AG28&gt;=100,AG28&lt;1000),AG28*Data!$L$19+Data!$L$12,IF(AND(AG28&gt;=1000,AG28&lt;10000),AG28*Data!$L$20+Data!$L$13,IF(AND(AG28&gt;=10000,AG28&lt;100000),AG28*Data!$L$21+Data!$L$14,IF(AND(AG28&gt;=100000,AG28&lt;1000000),AG28*Data!$L$22+Data!$L$15,IF(AG28&gt;=1000000,1,"?"))))))</f>
        <v>0.35</v>
      </c>
      <c r="AI28" s="76">
        <f t="shared" si="6"/>
        <v>0</v>
      </c>
      <c r="AJ28" s="66">
        <f>IF(AD11=18,F11,0)+ IF(AD12=18,F12,0)+ IF(AD13=18,F13,0)+ IF(AD14=18,F14,0)+ IF(AD15=18,F15,0)+ IF(AD16=18,F16,0)+ IF(AD17=18,F17,0)+ IF(AD18=18,F18,0)+ IF(AD19=18,F19,0)+ IF(AD20=18,F20,0)+ IF(AD21=18,F21,0)+ IF(AD22=18,F22,0)+ IF(AD23=18,F23,0)+ IF(AD24=18,F24,0)+ IF(AD25=18,F25,0)+ IF(AD26=18,F26,0)+ IF(AD27=18,F27,0)+ IF(AD28=18,F28,0)+ IF(AD29=18,F29,0)+ IF(AD30=18,F30,0)+ IF(AD31=18,F31,0)+ IF(AD32=18,F32,0)+ IF(AD33=18,F33,0)+ IF(AD34=18,F34,0)+ IF(AD35=18,F35,0)+ IF(AD36=18,F36,0)+ IF(AD37=18,F37,0)+ IF(AD38=18,F38,0)+ IF(AD39=18,F39,0)+ IF(AD40=18,F40,0)</f>
        <v>0</v>
      </c>
      <c r="AK28" s="66">
        <f>IF(AND(AJ28&gt;=0,AJ28&lt;100),AJ28*Data!$L$18+Data!$L$11,IF(AND(AJ28&gt;=100,AJ28&lt;1000),AJ28*Data!$L$19+Data!$L$12,IF(AND(AJ28&gt;=1000,AJ28&lt;10000),AJ28*Data!$L$20+Data!$L$13,IF(AND(AJ28&gt;=10000,AJ28&lt;100000),AJ28*Data!$L$21+Data!$L$14,IF(AND(AJ28&gt;=100000,AJ28&lt;1000000),AJ28*Data!$L$22+Data!$L$15,IF(AJ28&gt;=1000000,1,"?"))))))</f>
        <v>0.35</v>
      </c>
      <c r="AL28" s="3">
        <f t="shared" si="7"/>
        <v>0</v>
      </c>
    </row>
    <row r="29" spans="1:38" ht="14.5" x14ac:dyDescent="0.25">
      <c r="A29" s="7"/>
      <c r="B29" s="7" t="s">
        <v>68</v>
      </c>
      <c r="C29" s="7" t="str">
        <f>'Biodiversity Assessment'!G36</f>
        <v>Select land use</v>
      </c>
      <c r="D29" s="7">
        <f>'Biodiversity Assessment'!M36</f>
        <v>0</v>
      </c>
      <c r="E29" s="7" t="str">
        <f>'Biodiversity Assessment'!O36</f>
        <v>Select land use</v>
      </c>
      <c r="F29" s="54">
        <f>'Biodiversity Assessment'!U36</f>
        <v>0</v>
      </c>
      <c r="G29" s="27"/>
      <c r="H29" s="27"/>
      <c r="I29" s="27">
        <f>'Biodiversity Assessment'!BD36</f>
        <v>0</v>
      </c>
      <c r="J29" s="27">
        <f>'Biodiversity Assessment'!BF36</f>
        <v>0</v>
      </c>
      <c r="K29" s="16" t="str">
        <f>IF(C29=Data!$E$3,"?",IF(Biodiversity!C29=Data!$E$4,Data!$G$4,IF(Biodiversity!C29=Data!$E$5,Data!$G$5,IF(Biodiversity!C29=Data!$E$6,Data!$G$6,IF(Biodiversity!C29=Data!$E$7,Data!$G$7,IF(Biodiversity!C29=Data!$E$8,Data!$G$8,IF(Biodiversity!C29=Data!$E$9,Data!$G$9,IF(Biodiversity!C29=Data!$E$10,Data!$G$10,IF(Biodiversity!C29=Data!$E$11,Data!$G$11,IF(Biodiversity!C29=Data!$E$12,Data!$G$12,IF(Biodiversity!C29=Data!$E$13,Data!$G$13,IF(Biodiversity!C29=Data!$E$14,Data!$G$14,IF(Biodiversity!C29=Data!$E$15,Data!$G$15,IF(Biodiversity!C29=Data!$E$16,Data!$G$16,IF(Biodiversity!C29=Data!$E$17,Data!$G$17,IF(Biodiversity!C29=Data!$E$18,Data!$G$18,IF(Biodiversity!C29=Data!$E$19,Data!$G$19,IF(Biodiversity!C29=Data!$E$20,Data!$G$20,IF(Biodiversity!C29=Data!$E$21,Data!$G$21,"")))))))))))))))))))</f>
        <v>?</v>
      </c>
      <c r="L29" s="16" t="str">
        <f>IF(E29=Data!$E$3,"?",IF(Biodiversity!E29=Data!$E$4,Data!$G$4,IF(Biodiversity!E29=Data!$E$5,Data!$G$5,IF(Biodiversity!E29=Data!$E$6,Data!$G$6,IF(Biodiversity!E29=Data!$E$7,Data!$G$7,IF(Biodiversity!E29=Data!$E$8,Data!$G$8,IF(Biodiversity!E29=Data!$E$9,Data!$G$9,IF(Biodiversity!E29=Data!$E$10,Data!$G$10,IF(Biodiversity!E29=Data!$E$11,Data!$G$11,IF(Biodiversity!E29=Data!$E$12,Data!$G$12,IF(Biodiversity!E29=Data!$E$13,Data!$G$13,IF(Biodiversity!E29=Data!$E$14,Data!$G$14,IF(Biodiversity!E29=Data!$E$15,Data!$G$15,IF(Biodiversity!E29=Data!$E$16,Data!$G$16,IF(Biodiversity!E29=Data!$E$17,Data!$G$17,IF(Biodiversity!E29=Data!$E$18,Data!$G$18,IF(Biodiversity!E29=Data!$E$19,Data!$G$19,IF(Biodiversity!E29=Data!$E$20,Data!$G$20,IF(Biodiversity!E29=Data!$E$21,Data!$G$21,"")))))))))))))))))))</f>
        <v>?</v>
      </c>
      <c r="M29" s="16" t="str">
        <f t="shared" si="0"/>
        <v>?</v>
      </c>
      <c r="N29" s="16" t="str">
        <f t="shared" si="1"/>
        <v>?</v>
      </c>
      <c r="O29" s="15" t="str">
        <f t="shared" si="2"/>
        <v>?</v>
      </c>
      <c r="P29" s="15" t="str">
        <f t="shared" si="3"/>
        <v>?</v>
      </c>
      <c r="Q29" s="7"/>
      <c r="R29" s="26" t="str">
        <f>IFERROR(IF(AA29="A",K29,Biodiversity!K29*Biodiversity!M29*O29),"?")</f>
        <v>?</v>
      </c>
      <c r="S29" s="16" t="str">
        <f>IFERROR(IF(AC29="A",L29,Biodiversity!L29*Biodiversity!N29*P29),"?")</f>
        <v>?</v>
      </c>
      <c r="U29" s="15">
        <f t="shared" si="4"/>
        <v>0</v>
      </c>
      <c r="V29" s="15">
        <f t="shared" si="5"/>
        <v>0</v>
      </c>
      <c r="W29" s="15"/>
      <c r="X29" s="15">
        <f>'Biodiversity Assessment'!CH36</f>
        <v>0</v>
      </c>
      <c r="Y29" s="15">
        <f>'Biodiversity Assessment'!CJ36</f>
        <v>0</v>
      </c>
      <c r="Z29" s="15"/>
      <c r="AA29" s="15" t="str">
        <f>'Biodiversity Assessment'!J36</f>
        <v/>
      </c>
      <c r="AB29" s="67" t="str">
        <f>'Biodiversity Assessment'!K36</f>
        <v>?</v>
      </c>
      <c r="AC29" s="15" t="str">
        <f>'Biodiversity Assessment'!R36</f>
        <v/>
      </c>
      <c r="AD29" s="67" t="str">
        <f>'Biodiversity Assessment'!S36</f>
        <v>?</v>
      </c>
      <c r="AF29" s="58" t="s">
        <v>443</v>
      </c>
      <c r="AG29" s="46">
        <f>IF(AB11=19,D11,0)+ IF(AB12=19,D12,0)+ IF(AB13=19,D13,0)+ IF(AB14=19,D14,0)+ IF(AB15=19,D15,0)+ IF(AB16=19,D16,0)+ IF(AB17=19,D17,0)+ IF(AB18=19,D18,0)+ IF(AB19=19,D19,0)+ IF(AB20=19,D20,0)+ IF(AB21=19,D21,0)+ IF(AB22=19,D22,0)+ IF(AB23=19,D23,0)+ IF(AB24=19,D24,0)+ IF(AB25=19,D25,0)+ IF(AB26=19,D26,0)+ IF(AB27=19,D27,0)+ IF(AB28=19,D28,0)+ IF(AB29=19,D29,0)+ IF(AB30=19,D30,0)+ IF(AB31=19,D31,0)+ IF(AB32=19,D32,0)+ IF(AB33=19,D33,0)+ IF(AB34=19,D34,0)+ IF(AB35=19,D35,0)+ IF(AB36=19,D36,0)+ IF(AB37=19,D37,0)+ IF(AB38=19,D38,0)+ IF(AB39=19,D39,0)+ IF(AB40=19,D40,0)</f>
        <v>0</v>
      </c>
      <c r="AH29" s="62">
        <f>IF(AND(AG29&gt;=0,AG29&lt;100),AG29*Data!$L$18+Data!$L$11,IF(AND(AG29&gt;=100,AG29&lt;1000),AG29*Data!$L$19+Data!$L$12,IF(AND(AG29&gt;=1000,AG29&lt;10000),AG29*Data!$L$20+Data!$L$13,IF(AND(AG29&gt;=10000,AG29&lt;100000),AG29*Data!$L$21+Data!$L$14,IF(AND(AG29&gt;=100000,AG29&lt;1000000),AG29*Data!$L$22+Data!$L$15,IF(AG29&gt;=1000000,1,"?"))))))</f>
        <v>0.35</v>
      </c>
      <c r="AI29" s="76">
        <f t="shared" si="6"/>
        <v>0</v>
      </c>
      <c r="AJ29" s="66">
        <f>IF(AD11=19,F11,0)+ IF(AD12=19,F12,0)+ IF(AD13=19,F13,0)+ IF(AD14=19,F14,0)+ IF(AD15=19,F15,0)+ IF(AD16=19,F16,0)+ IF(AD17=19,F17,0)+ IF(AD18=19,F18,0)+ IF(AD19=19,F19,0)+ IF(AD20=19,F20,0)+ IF(AD21=19,F21,0)+ IF(AD22=19,F22,0)+ IF(AD23=19,F23,0)+ IF(AD24=19,F24,0)+ IF(AD25=19,F25,0)+ IF(AD26=19,F26,0)+ IF(AD27=19,F27,0)+ IF(AD28=19,F28,0)+ IF(AD29=19,F29,0)+ IF(AD30=19,F30,0)+ IF(AD31=19,F31,0)+ IF(AD32=19,F32,0)+ IF(AD33=19,F33,0)+ IF(AD34=19,F34,0)+ IF(AD35=19,F35,0)+ IF(AD36=19,F36,0)+ IF(AD37=19,F37,0)+ IF(AD38=19,F38,0)+ IF(AD39=19,F39,0)+ IF(AD40=19,F40,0)</f>
        <v>0</v>
      </c>
      <c r="AK29" s="66">
        <f>IF(AND(AJ29&gt;=0,AJ29&lt;100),AJ29*Data!$L$18+Data!$L$11,IF(AND(AJ29&gt;=100,AJ29&lt;1000),AJ29*Data!$L$19+Data!$L$12,IF(AND(AJ29&gt;=1000,AJ29&lt;10000),AJ29*Data!$L$20+Data!$L$13,IF(AND(AJ29&gt;=10000,AJ29&lt;100000),AJ29*Data!$L$21+Data!$L$14,IF(AND(AJ29&gt;=100000,AJ29&lt;1000000),AJ29*Data!$L$22+Data!$L$15,IF(AJ29&gt;=1000000,1,"?"))))))</f>
        <v>0.35</v>
      </c>
      <c r="AL29" s="3">
        <f t="shared" si="7"/>
        <v>0</v>
      </c>
    </row>
    <row r="30" spans="1:38" ht="14.5" x14ac:dyDescent="0.25">
      <c r="A30" s="7"/>
      <c r="B30" s="7" t="s">
        <v>69</v>
      </c>
      <c r="C30" s="7" t="str">
        <f>'Biodiversity Assessment'!G37</f>
        <v>Select land use</v>
      </c>
      <c r="D30" s="7">
        <f>'Biodiversity Assessment'!M37</f>
        <v>0</v>
      </c>
      <c r="E30" s="7" t="str">
        <f>'Biodiversity Assessment'!O37</f>
        <v>Select land use</v>
      </c>
      <c r="F30" s="54">
        <f>'Biodiversity Assessment'!U37</f>
        <v>0</v>
      </c>
      <c r="G30" s="27"/>
      <c r="H30" s="27"/>
      <c r="I30" s="27">
        <f>'Biodiversity Assessment'!BD37</f>
        <v>0</v>
      </c>
      <c r="J30" s="27">
        <f>'Biodiversity Assessment'!BF37</f>
        <v>0</v>
      </c>
      <c r="K30" s="16" t="str">
        <f>IF(C30=Data!$E$3,"?",IF(Biodiversity!C30=Data!$E$4,Data!$G$4,IF(Biodiversity!C30=Data!$E$5,Data!$G$5,IF(Biodiversity!C30=Data!$E$6,Data!$G$6,IF(Biodiversity!C30=Data!$E$7,Data!$G$7,IF(Biodiversity!C30=Data!$E$8,Data!$G$8,IF(Biodiversity!C30=Data!$E$9,Data!$G$9,IF(Biodiversity!C30=Data!$E$10,Data!$G$10,IF(Biodiversity!C30=Data!$E$11,Data!$G$11,IF(Biodiversity!C30=Data!$E$12,Data!$G$12,IF(Biodiversity!C30=Data!$E$13,Data!$G$13,IF(Biodiversity!C30=Data!$E$14,Data!$G$14,IF(Biodiversity!C30=Data!$E$15,Data!$G$15,IF(Biodiversity!C30=Data!$E$16,Data!$G$16,IF(Biodiversity!C30=Data!$E$17,Data!$G$17,IF(Biodiversity!C30=Data!$E$18,Data!$G$18,IF(Biodiversity!C30=Data!$E$19,Data!$G$19,IF(Biodiversity!C30=Data!$E$20,Data!$G$20,IF(Biodiversity!C30=Data!$E$21,Data!$G$21,"")))))))))))))))))))</f>
        <v>?</v>
      </c>
      <c r="L30" s="16" t="str">
        <f>IF(E30=Data!$E$3,"?",IF(Biodiversity!E30=Data!$E$4,Data!$G$4,IF(Biodiversity!E30=Data!$E$5,Data!$G$5,IF(Biodiversity!E30=Data!$E$6,Data!$G$6,IF(Biodiversity!E30=Data!$E$7,Data!$G$7,IF(Biodiversity!E30=Data!$E$8,Data!$G$8,IF(Biodiversity!E30=Data!$E$9,Data!$G$9,IF(Biodiversity!E30=Data!$E$10,Data!$G$10,IF(Biodiversity!E30=Data!$E$11,Data!$G$11,IF(Biodiversity!E30=Data!$E$12,Data!$G$12,IF(Biodiversity!E30=Data!$E$13,Data!$G$13,IF(Biodiversity!E30=Data!$E$14,Data!$G$14,IF(Biodiversity!E30=Data!$E$15,Data!$G$15,IF(Biodiversity!E30=Data!$E$16,Data!$G$16,IF(Biodiversity!E30=Data!$E$17,Data!$G$17,IF(Biodiversity!E30=Data!$E$18,Data!$G$18,IF(Biodiversity!E30=Data!$E$19,Data!$G$19,IF(Biodiversity!E30=Data!$E$20,Data!$G$20,IF(Biodiversity!E30=Data!$E$21,Data!$G$21,"")))))))))))))))))))</f>
        <v>?</v>
      </c>
      <c r="M30" s="16" t="str">
        <f t="shared" si="0"/>
        <v>?</v>
      </c>
      <c r="N30" s="16" t="str">
        <f t="shared" si="1"/>
        <v>?</v>
      </c>
      <c r="O30" s="15" t="str">
        <f t="shared" si="2"/>
        <v>?</v>
      </c>
      <c r="P30" s="15" t="str">
        <f t="shared" si="3"/>
        <v>?</v>
      </c>
      <c r="Q30" s="7"/>
      <c r="R30" s="26" t="str">
        <f>IFERROR(IF(AA30="A",K30,Biodiversity!K30*Biodiversity!M30*O30),"?")</f>
        <v>?</v>
      </c>
      <c r="S30" s="16" t="str">
        <f>IFERROR(IF(AC30="A",L30,Biodiversity!L30*Biodiversity!N30*P30),"?")</f>
        <v>?</v>
      </c>
      <c r="U30" s="15">
        <f t="shared" si="4"/>
        <v>0</v>
      </c>
      <c r="V30" s="15">
        <f t="shared" si="5"/>
        <v>0</v>
      </c>
      <c r="W30" s="15"/>
      <c r="X30" s="15">
        <f>'Biodiversity Assessment'!CH37</f>
        <v>0</v>
      </c>
      <c r="Y30" s="15">
        <f>'Biodiversity Assessment'!CJ37</f>
        <v>0</v>
      </c>
      <c r="Z30" s="15"/>
      <c r="AA30" s="15" t="str">
        <f>'Biodiversity Assessment'!J37</f>
        <v/>
      </c>
      <c r="AB30" s="67" t="str">
        <f>'Biodiversity Assessment'!K37</f>
        <v>?</v>
      </c>
      <c r="AC30" s="15" t="str">
        <f>'Biodiversity Assessment'!R37</f>
        <v/>
      </c>
      <c r="AD30" s="67" t="str">
        <f>'Biodiversity Assessment'!S37</f>
        <v>?</v>
      </c>
      <c r="AF30" s="58" t="s">
        <v>444</v>
      </c>
      <c r="AG30" s="46">
        <f>IF(AB11=20,D11,0)+ IF(AB12=20,D12,0)+ IF(AB13=20,D13,0)+ IF(AB14=20,D14,0)+ IF(AB15=20,D15,0)+ IF(AB16=20,D16,0)+ IF(AB17=20,D17,0)+ IF(AB18=20,D18,0)+ IF(AB19=20,D19,0)+ IF(AB20=20,D20,0)+ IF(AB21=20,D21,0)+ IF(AB22=20,D22,0)+ IF(AB23=20,D23,0)+ IF(AB24=20,D24,0)+ IF(AB25=20,D25,0)+ IF(AB26=20,D26,0)+ IF(AB27=20,D27,0)+ IF(AB28=20,D28,0)+ IF(AB29=20,D29,0)+ IF(AB30=20,D30,0)+ IF(AB31=20,D31,0)+ IF(AB32=20,D32,0)+ IF(AB33=20,D33,0)+ IF(AB34=20,D34,0)+ IF(AB35=20,D35,0)+ IF(AB36=20,D36,0)+ IF(AB37=20,D37,0)+ IF(AB38=20,D38,0)+ IF(AB39=20,D39,0)+ IF(AB40=20,D40,0)</f>
        <v>0</v>
      </c>
      <c r="AH30" s="62">
        <f>IF(AND(AG30&gt;=0,AG30&lt;100),AG30*Data!$L$18+Data!$L$11,IF(AND(AG30&gt;=100,AG30&lt;1000),AG30*Data!$L$19+Data!$L$12,IF(AND(AG30&gt;=1000,AG30&lt;10000),AG30*Data!$L$20+Data!$L$13,IF(AND(AG30&gt;=10000,AG30&lt;100000),AG30*Data!$L$21+Data!$L$14,IF(AND(AG30&gt;=100000,AG30&lt;1000000),AG30*Data!$L$22+Data!$L$15,IF(AG30&gt;=1000000,1,"?"))))))</f>
        <v>0.35</v>
      </c>
      <c r="AI30" s="76">
        <f t="shared" si="6"/>
        <v>0</v>
      </c>
      <c r="AJ30" s="66">
        <f>IF(AD11=20,F11,0)+ IF(AD12=20,F12,0)+ IF(AD13=20,F13,0)+ IF(AD14=20,F14,0)+ IF(AD15=20,F15,0)+ IF(AD16=20,F16,0)+ IF(AD17=20,F17,0)+ IF(AD18=20,F18,0)+ IF(AD19=20,F19,0)+ IF(AD20=20,F20,0)+ IF(AD21=20,F21,0)+ IF(AD22=20,F22,0)+ IF(AD23=20,F23,0)+ IF(AD24=20,F24,0)+ IF(AD25=20,F25,0)+ IF(AD26=20,F26,0)+ IF(AD27=20,F27,0)+ IF(AD28=20,F28,0)+ IF(AD29=20,F29,0)+ IF(AD30=20,F30,0)+ IF(AD31=20,F31,0)+ IF(AD32=20,F32,0)+ IF(AD33=20,F33,0)+ IF(AD34=20,F34,0)+ IF(AD35=20,F35,0)+ IF(AD36=20,F36,0)+ IF(AD37=20,F37,0)+ IF(AD38=20,F38,0)+ IF(AD39=20,F39,0)+ IF(AD40=20,F40,0)</f>
        <v>0</v>
      </c>
      <c r="AK30" s="66">
        <f>IF(AND(AJ30&gt;=0,AJ30&lt;100),AJ30*Data!$L$18+Data!$L$11,IF(AND(AJ30&gt;=100,AJ30&lt;1000),AJ30*Data!$L$19+Data!$L$12,IF(AND(AJ30&gt;=1000,AJ30&lt;10000),AJ30*Data!$L$20+Data!$L$13,IF(AND(AJ30&gt;=10000,AJ30&lt;100000),AJ30*Data!$L$21+Data!$L$14,IF(AND(AJ30&gt;=100000,AJ30&lt;1000000),AJ30*Data!$L$22+Data!$L$15,IF(AJ30&gt;=1000000,1,"?"))))))</f>
        <v>0.35</v>
      </c>
      <c r="AL30" s="3">
        <f t="shared" si="7"/>
        <v>0</v>
      </c>
    </row>
    <row r="31" spans="1:38" ht="14.5" x14ac:dyDescent="0.25">
      <c r="A31" s="7"/>
      <c r="B31" s="7" t="s">
        <v>414</v>
      </c>
      <c r="C31" s="7" t="str">
        <f>'Biodiversity Assessment'!G38</f>
        <v>Select land use</v>
      </c>
      <c r="D31" s="7">
        <f>'Biodiversity Assessment'!M38</f>
        <v>0</v>
      </c>
      <c r="E31" s="7" t="str">
        <f>'Biodiversity Assessment'!O38</f>
        <v>Select land use</v>
      </c>
      <c r="F31" s="60">
        <f>'Biodiversity Assessment'!U38</f>
        <v>0</v>
      </c>
      <c r="G31" s="60"/>
      <c r="H31" s="60"/>
      <c r="I31" s="60">
        <f>'Biodiversity Assessment'!BD38</f>
        <v>0</v>
      </c>
      <c r="J31" s="60">
        <f>'Biodiversity Assessment'!BF38</f>
        <v>0</v>
      </c>
      <c r="K31" s="16" t="str">
        <f>IF(C31=Data!$E$3,"?",IF(Biodiversity!C31=Data!$E$4,Data!$G$4,IF(Biodiversity!C31=Data!$E$5,Data!$G$5,IF(Biodiversity!C31=Data!$E$6,Data!$G$6,IF(Biodiversity!C31=Data!$E$7,Data!$G$7,IF(Biodiversity!C31=Data!$E$8,Data!$G$8,IF(Biodiversity!C31=Data!$E$9,Data!$G$9,IF(Biodiversity!C31=Data!$E$10,Data!$G$10,IF(Biodiversity!C31=Data!$E$11,Data!$G$11,IF(Biodiversity!C31=Data!$E$12,Data!$G$12,IF(Biodiversity!C31=Data!$E$13,Data!$G$13,IF(Biodiversity!C31=Data!$E$14,Data!$G$14,IF(Biodiversity!C31=Data!$E$15,Data!$G$15,IF(Biodiversity!C31=Data!$E$16,Data!$G$16,IF(Biodiversity!C31=Data!$E$17,Data!$G$17,IF(Biodiversity!C31=Data!$E$18,Data!$G$18,IF(Biodiversity!C31=Data!$E$19,Data!$G$19,IF(Biodiversity!C31=Data!$E$20,Data!$G$20,IF(Biodiversity!C31=Data!$E$21,Data!$G$21,"")))))))))))))))))))</f>
        <v>?</v>
      </c>
      <c r="L31" s="16" t="str">
        <f>IF(E31=Data!$E$3,"?",IF(Biodiversity!E31=Data!$E$4,Data!$G$4,IF(Biodiversity!E31=Data!$E$5,Data!$G$5,IF(Biodiversity!E31=Data!$E$6,Data!$G$6,IF(Biodiversity!E31=Data!$E$7,Data!$G$7,IF(Biodiversity!E31=Data!$E$8,Data!$G$8,IF(Biodiversity!E31=Data!$E$9,Data!$G$9,IF(Biodiversity!E31=Data!$E$10,Data!$G$10,IF(Biodiversity!E31=Data!$E$11,Data!$G$11,IF(Biodiversity!E31=Data!$E$12,Data!$G$12,IF(Biodiversity!E31=Data!$E$13,Data!$G$13,IF(Biodiversity!E31=Data!$E$14,Data!$G$14,IF(Biodiversity!E31=Data!$E$15,Data!$G$15,IF(Biodiversity!E31=Data!$E$16,Data!$G$16,IF(Biodiversity!E31=Data!$E$17,Data!$G$17,IF(Biodiversity!E31=Data!$E$18,Data!$G$18,IF(Biodiversity!E31=Data!$E$19,Data!$G$19,IF(Biodiversity!E31=Data!$E$20,Data!$G$20,IF(Biodiversity!E31=Data!$E$21,Data!$G$21,"")))))))))))))))))))</f>
        <v>?</v>
      </c>
      <c r="M31" s="16" t="str">
        <f t="shared" si="0"/>
        <v>?</v>
      </c>
      <c r="N31" s="16" t="str">
        <f t="shared" si="1"/>
        <v>?</v>
      </c>
      <c r="O31" s="15" t="str">
        <f t="shared" si="2"/>
        <v>?</v>
      </c>
      <c r="P31" s="15" t="str">
        <f t="shared" si="3"/>
        <v>?</v>
      </c>
      <c r="Q31" s="7"/>
      <c r="R31" s="26" t="str">
        <f>IFERROR(IF(AA31="A",K31,Biodiversity!K31*Biodiversity!M31*O31),"?")</f>
        <v>?</v>
      </c>
      <c r="S31" s="16" t="str">
        <f>IFERROR(IF(AC31="A",L31,Biodiversity!L31*Biodiversity!N31*P31),"?")</f>
        <v>?</v>
      </c>
      <c r="U31" s="15">
        <f t="shared" si="4"/>
        <v>0</v>
      </c>
      <c r="V31" s="15">
        <f t="shared" si="5"/>
        <v>0</v>
      </c>
      <c r="W31" s="15"/>
      <c r="X31" s="15">
        <f>'Biodiversity Assessment'!CH38</f>
        <v>0</v>
      </c>
      <c r="Y31" s="15">
        <f>'Biodiversity Assessment'!CJ38</f>
        <v>0</v>
      </c>
      <c r="Z31" s="15"/>
      <c r="AA31" s="15" t="str">
        <f>'Biodiversity Assessment'!J38</f>
        <v/>
      </c>
      <c r="AB31" s="67" t="str">
        <f>'Biodiversity Assessment'!K38</f>
        <v>?</v>
      </c>
      <c r="AC31" s="15" t="str">
        <f>'Biodiversity Assessment'!R38</f>
        <v/>
      </c>
      <c r="AD31" s="67" t="str">
        <f>'Biodiversity Assessment'!S38</f>
        <v>?</v>
      </c>
      <c r="AF31" s="58" t="s">
        <v>445</v>
      </c>
      <c r="AG31" s="60">
        <f>IF(AB11=21,D11,0)+ IF(AB12=21,D12,0)+ IF(AB13=21,D13,0)+ IF(AB14=21,D14,0)+ IF(AB15=21,D15,0)+ IF(AB16=21,D16,0)+ IF(AB17=21,D17,0)+ IF(AB18=21,D18,0)+ IF(AB19=21,D19,0)+ IF(AB20=21,D20,0)+ IF(AB21=21,D21,0)+ IF(AB22=21,D22,0)+ IF(AB23=21,D23,0)+ IF(AB24=21,D24,0)+ IF(AB25=21,D25,0)+ IF(AB26=21,D26,0)+ IF(AB27=21,D27,0)+ IF(AB28=21,D28,0)+ IF(AB29=21,D29,0)+ IF(AB30=21,D30,0)+ IF(AB31=21,D31,0)+ IF(AB32=21,D32,0)+ IF(AB33=21,D33,0)+ IF(AB34=21,D34,0)+ IF(AB35=21,D35,0)+ IF(AB36=21,D36,0)+ IF(AB37=21,D37,0)+ IF(AB38=21,D38,0)+ IF(AB39=21,D39,0)+ IF(AB40=21,D40,0)</f>
        <v>0</v>
      </c>
      <c r="AH31" s="62">
        <f>IF(AND(AG31&gt;=0,AG31&lt;100),AG31*Data!$L$18+Data!$L$11,IF(AND(AG31&gt;=100,AG31&lt;1000),AG31*Data!$L$19+Data!$L$12,IF(AND(AG31&gt;=1000,AG31&lt;10000),AG31*Data!$L$20+Data!$L$13,IF(AND(AG31&gt;=10000,AG31&lt;100000),AG31*Data!$L$21+Data!$L$14,IF(AND(AG31&gt;=100000,AG31&lt;1000000),AG31*Data!$L$22+Data!$L$15,IF(AG31&gt;=1000000,1,"?"))))))</f>
        <v>0.35</v>
      </c>
      <c r="AI31" s="76">
        <f t="shared" si="6"/>
        <v>0</v>
      </c>
      <c r="AJ31" s="66">
        <f>IF(AD11=21,F11,0)+ IF(AD12=21,F12,0)+ IF(AD13=21,F13,0)+ IF(AD14=21,F14,0)+ IF(AD15=21,F15,0)+ IF(AD16=21,F16,0)+ IF(AD17=21,F17,0)+ IF(AD18=21,F18,0)+ IF(AD19=21,F19,0)+ IF(AD20=21,F20,0)+ IF(AD21=21,F21,0)+ IF(AD22=21,F22,0)+ IF(AD23=21,F23,0)+ IF(AD24=21,F24,0)+ IF(AD25=21,F25,0)+ IF(AD26=21,F26,0)+ IF(AD27=21,F27,0)+ IF(AD28=21,F28,0)+ IF(AD29=21,F29,0)+ IF(AD30=21,F30,0)+ IF(AD31=21,F31,0)+ IF(AD32=21,F32,0)+ IF(AD33=21,F33,0)+ IF(AD34=21,F34,0)+ IF(AD35=21,F35,0)+ IF(AD36=21,F36,0)+ IF(AD37=21,F37,0)+ IF(AD38=21,F38,0)+ IF(AD39=21,F39,0)+ IF(AD40=21,F40,0)</f>
        <v>0</v>
      </c>
      <c r="AK31" s="66">
        <f>IF(AND(AJ31&gt;=0,AJ31&lt;100),AJ31*Data!$L$18+Data!$L$11,IF(AND(AJ31&gt;=100,AJ31&lt;1000),AJ31*Data!$L$19+Data!$L$12,IF(AND(AJ31&gt;=1000,AJ31&lt;10000),AJ31*Data!$L$20+Data!$L$13,IF(AND(AJ31&gt;=10000,AJ31&lt;100000),AJ31*Data!$L$21+Data!$L$14,IF(AND(AJ31&gt;=100000,AJ31&lt;1000000),AJ31*Data!$L$22+Data!$L$15,IF(AJ31&gt;=1000000,1,"?"))))))</f>
        <v>0.35</v>
      </c>
      <c r="AL31" s="3">
        <f t="shared" si="7"/>
        <v>0</v>
      </c>
    </row>
    <row r="32" spans="1:38" ht="14.5" x14ac:dyDescent="0.25">
      <c r="A32" s="7"/>
      <c r="B32" s="7" t="s">
        <v>415</v>
      </c>
      <c r="C32" s="7" t="str">
        <f>'Biodiversity Assessment'!G39</f>
        <v>Select land use</v>
      </c>
      <c r="D32" s="7">
        <f>'Biodiversity Assessment'!M39</f>
        <v>0</v>
      </c>
      <c r="E32" s="7" t="str">
        <f>'Biodiversity Assessment'!O39</f>
        <v>Select land use</v>
      </c>
      <c r="F32" s="60">
        <f>'Biodiversity Assessment'!U39</f>
        <v>0</v>
      </c>
      <c r="G32" s="60"/>
      <c r="H32" s="60"/>
      <c r="I32" s="60">
        <f>'Biodiversity Assessment'!BD39</f>
        <v>0</v>
      </c>
      <c r="J32" s="60">
        <f>'Biodiversity Assessment'!BF39</f>
        <v>0</v>
      </c>
      <c r="K32" s="16" t="str">
        <f>IF(C32=Data!$E$3,"?",IF(Biodiversity!C32=Data!$E$4,Data!$G$4,IF(Biodiversity!C32=Data!$E$5,Data!$G$5,IF(Biodiversity!C32=Data!$E$6,Data!$G$6,IF(Biodiversity!C32=Data!$E$7,Data!$G$7,IF(Biodiversity!C32=Data!$E$8,Data!$G$8,IF(Biodiversity!C32=Data!$E$9,Data!$G$9,IF(Biodiversity!C32=Data!$E$10,Data!$G$10,IF(Biodiversity!C32=Data!$E$11,Data!$G$11,IF(Biodiversity!C32=Data!$E$12,Data!$G$12,IF(Biodiversity!C32=Data!$E$13,Data!$G$13,IF(Biodiversity!C32=Data!$E$14,Data!$G$14,IF(Biodiversity!C32=Data!$E$15,Data!$G$15,IF(Biodiversity!C32=Data!$E$16,Data!$G$16,IF(Biodiversity!C32=Data!$E$17,Data!$G$17,IF(Biodiversity!C32=Data!$E$18,Data!$G$18,IF(Biodiversity!C32=Data!$E$19,Data!$G$19,IF(Biodiversity!C32=Data!$E$20,Data!$G$20,IF(Biodiversity!C32=Data!$E$21,Data!$G$21,"")))))))))))))))))))</f>
        <v>?</v>
      </c>
      <c r="L32" s="16" t="str">
        <f>IF(E32=Data!$E$3,"?",IF(Biodiversity!E32=Data!$E$4,Data!$G$4,IF(Biodiversity!E32=Data!$E$5,Data!$G$5,IF(Biodiversity!E32=Data!$E$6,Data!$G$6,IF(Biodiversity!E32=Data!$E$7,Data!$G$7,IF(Biodiversity!E32=Data!$E$8,Data!$G$8,IF(Biodiversity!E32=Data!$E$9,Data!$G$9,IF(Biodiversity!E32=Data!$E$10,Data!$G$10,IF(Biodiversity!E32=Data!$E$11,Data!$G$11,IF(Biodiversity!E32=Data!$E$12,Data!$G$12,IF(Biodiversity!E32=Data!$E$13,Data!$G$13,IF(Biodiversity!E32=Data!$E$14,Data!$G$14,IF(Biodiversity!E32=Data!$E$15,Data!$G$15,IF(Biodiversity!E32=Data!$E$16,Data!$G$16,IF(Biodiversity!E32=Data!$E$17,Data!$G$17,IF(Biodiversity!E32=Data!$E$18,Data!$G$18,IF(Biodiversity!E32=Data!$E$19,Data!$G$19,IF(Biodiversity!E32=Data!$E$20,Data!$G$20,IF(Biodiversity!E32=Data!$E$21,Data!$G$21,"")))))))))))))))))))</f>
        <v>?</v>
      </c>
      <c r="M32" s="16" t="str">
        <f t="shared" si="0"/>
        <v>?</v>
      </c>
      <c r="N32" s="16" t="str">
        <f t="shared" si="1"/>
        <v>?</v>
      </c>
      <c r="O32" s="15" t="str">
        <f t="shared" si="2"/>
        <v>?</v>
      </c>
      <c r="P32" s="15" t="str">
        <f t="shared" si="3"/>
        <v>?</v>
      </c>
      <c r="Q32" s="7"/>
      <c r="R32" s="26" t="str">
        <f>IFERROR(IF(AA32="A",K32,Biodiversity!K32*Biodiversity!M32*O32),"?")</f>
        <v>?</v>
      </c>
      <c r="S32" s="16" t="str">
        <f>IFERROR(IF(AC32="A",L32,Biodiversity!L32*Biodiversity!N32*P32),"?")</f>
        <v>?</v>
      </c>
      <c r="U32" s="15">
        <f t="shared" si="4"/>
        <v>0</v>
      </c>
      <c r="V32" s="15">
        <f t="shared" si="5"/>
        <v>0</v>
      </c>
      <c r="W32" s="15"/>
      <c r="X32" s="15">
        <f>'Biodiversity Assessment'!CH39</f>
        <v>0</v>
      </c>
      <c r="Y32" s="15">
        <f>'Biodiversity Assessment'!CJ39</f>
        <v>0</v>
      </c>
      <c r="Z32" s="15"/>
      <c r="AA32" s="15" t="str">
        <f>'Biodiversity Assessment'!J39</f>
        <v/>
      </c>
      <c r="AB32" s="67" t="str">
        <f>'Biodiversity Assessment'!K39</f>
        <v>?</v>
      </c>
      <c r="AC32" s="15" t="str">
        <f>'Biodiversity Assessment'!R39</f>
        <v/>
      </c>
      <c r="AD32" s="67" t="str">
        <f>'Biodiversity Assessment'!S39</f>
        <v>?</v>
      </c>
      <c r="AF32" s="58" t="s">
        <v>446</v>
      </c>
      <c r="AG32" s="60">
        <f>IF(AB11=22,D11,0)+ IF(AB12=22,D12,0)+ IF(AB13=22,D13,0)+ IF(AB14=22,D14,0)+ IF(AB15=22,D15,0)+ IF(AB16=22,D16,0)+ IF(AB17=22,D17,0)+ IF(AB18=22,D18,0)+ IF(AB19=22,D19,0)+ IF(AB20=22,D20,0)+ IF(AB21=22,D21,0)+ IF(AB22=22,D22,0)+ IF(AB23=22,D23,0)+ IF(AB24=22,D24,0)+ IF(AB25=22,D25,0)+ IF(AB26=22,D26,0)+ IF(AB27=22,D27,0)+ IF(AB28=22,D28,0)+ IF(AB29=22,D29,0)+ IF(AB30=22,D30,0)+ IF(AB31=22,D31,0)+ IF(AB32=22,D32,0)+ IF(AB33=22,D33,0)+ IF(AB34=22,D34,0)+ IF(AB35=22,D35,0)+ IF(AB36=22,D36,0)+ IF(AB37=22,D37,0)+ IF(AB38=22,D38,0)+ IF(AB39=22,D39,0)+ IF(AB40=22,D40,0)</f>
        <v>0</v>
      </c>
      <c r="AH32" s="62">
        <f>IF(AND(AG32&gt;=0,AG32&lt;100),AG32*Data!$L$18+Data!$L$11,IF(AND(AG32&gt;=100,AG32&lt;1000),AG32*Data!$L$19+Data!$L$12,IF(AND(AG32&gt;=1000,AG32&lt;10000),AG32*Data!$L$20+Data!$L$13,IF(AND(AG32&gt;=10000,AG32&lt;100000),AG32*Data!$L$21+Data!$L$14,IF(AND(AG32&gt;=100000,AG32&lt;1000000),AG32*Data!$L$22+Data!$L$15,IF(AG32&gt;=1000000,1,"?"))))))</f>
        <v>0.35</v>
      </c>
      <c r="AI32" s="76">
        <f t="shared" si="6"/>
        <v>0</v>
      </c>
      <c r="AJ32" s="66">
        <f>IF(AD11=22,F11,0)+ IF(AD12=22,F12,0)+ IF(AD13=22,F13,0)+ IF(AD14=22,F14,0)+ IF(AD15=22,F15,0)+ IF(AD16=22,F16,0)+ IF(AD17=22,F17,0)+ IF(AD18=22,F18,0)+ IF(AD19=22,F19,0)+ IF(AD20=22,F20,0)+ IF(AD21=22,F21,0)+ IF(AD22=22,F22,0)+ IF(AD23=22,F23,0)+ IF(AD24=22,F24,0)+ IF(AD25=22,F25,0)+ IF(AD26=22,F26,0)+ IF(AD27=22,F27,0)+ IF(AD28=22,F28,0)+ IF(AD29=22,F29,0)+ IF(AD30=22,F30,0)+ IF(AD31=22,F31,0)+ IF(AD32=22,F32,0)+ IF(AD33=22,F33,0)+ IF(AD34=22,F34,0)+ IF(AD35=22,F35,0)+ IF(AD36=22,F36,0)+ IF(AD37=22,F37,0)+ IF(AD38=22,F38,0)+ IF(AD39=22,F39,0)+ IF(AD40=22,F40,0)</f>
        <v>0</v>
      </c>
      <c r="AK32" s="66">
        <f>IF(AND(AJ32&gt;=0,AJ32&lt;100),AJ32*Data!$L$18+Data!$L$11,IF(AND(AJ32&gt;=100,AJ32&lt;1000),AJ32*Data!$L$19+Data!$L$12,IF(AND(AJ32&gt;=1000,AJ32&lt;10000),AJ32*Data!$L$20+Data!$L$13,IF(AND(AJ32&gt;=10000,AJ32&lt;100000),AJ32*Data!$L$21+Data!$L$14,IF(AND(AJ32&gt;=100000,AJ32&lt;1000000),AJ32*Data!$L$22+Data!$L$15,IF(AJ32&gt;=1000000,1,"?"))))))</f>
        <v>0.35</v>
      </c>
      <c r="AL32" s="3">
        <f t="shared" si="7"/>
        <v>0</v>
      </c>
    </row>
    <row r="33" spans="1:38" ht="14.5" x14ac:dyDescent="0.25">
      <c r="A33" s="7"/>
      <c r="B33" s="7" t="s">
        <v>416</v>
      </c>
      <c r="C33" s="7" t="str">
        <f>'Biodiversity Assessment'!G40</f>
        <v>Select land use</v>
      </c>
      <c r="D33" s="7">
        <f>'Biodiversity Assessment'!M40</f>
        <v>0</v>
      </c>
      <c r="E33" s="7" t="str">
        <f>'Biodiversity Assessment'!O40</f>
        <v>Select land use</v>
      </c>
      <c r="F33" s="60">
        <f>'Biodiversity Assessment'!U40</f>
        <v>0</v>
      </c>
      <c r="G33" s="60"/>
      <c r="H33" s="60"/>
      <c r="I33" s="60">
        <f>'Biodiversity Assessment'!BD40</f>
        <v>0</v>
      </c>
      <c r="J33" s="60">
        <f>'Biodiversity Assessment'!BF40</f>
        <v>0</v>
      </c>
      <c r="K33" s="16" t="str">
        <f>IF(C33=Data!$E$3,"?",IF(Biodiversity!C33=Data!$E$4,Data!$G$4,IF(Biodiversity!C33=Data!$E$5,Data!$G$5,IF(Biodiversity!C33=Data!$E$6,Data!$G$6,IF(Biodiversity!C33=Data!$E$7,Data!$G$7,IF(Biodiversity!C33=Data!$E$8,Data!$G$8,IF(Biodiversity!C33=Data!$E$9,Data!$G$9,IF(Biodiversity!C33=Data!$E$10,Data!$G$10,IF(Biodiversity!C33=Data!$E$11,Data!$G$11,IF(Biodiversity!C33=Data!$E$12,Data!$G$12,IF(Biodiversity!C33=Data!$E$13,Data!$G$13,IF(Biodiversity!C33=Data!$E$14,Data!$G$14,IF(Biodiversity!C33=Data!$E$15,Data!$G$15,IF(Biodiversity!C33=Data!$E$16,Data!$G$16,IF(Biodiversity!C33=Data!$E$17,Data!$G$17,IF(Biodiversity!C33=Data!$E$18,Data!$G$18,IF(Biodiversity!C33=Data!$E$19,Data!$G$19,IF(Biodiversity!C33=Data!$E$20,Data!$G$20,IF(Biodiversity!C33=Data!$E$21,Data!$G$21,"")))))))))))))))))))</f>
        <v>?</v>
      </c>
      <c r="L33" s="16" t="str">
        <f>IF(E33=Data!$E$3,"?",IF(Biodiversity!E33=Data!$E$4,Data!$G$4,IF(Biodiversity!E33=Data!$E$5,Data!$G$5,IF(Biodiversity!E33=Data!$E$6,Data!$G$6,IF(Biodiversity!E33=Data!$E$7,Data!$G$7,IF(Biodiversity!E33=Data!$E$8,Data!$G$8,IF(Biodiversity!E33=Data!$E$9,Data!$G$9,IF(Biodiversity!E33=Data!$E$10,Data!$G$10,IF(Biodiversity!E33=Data!$E$11,Data!$G$11,IF(Biodiversity!E33=Data!$E$12,Data!$G$12,IF(Biodiversity!E33=Data!$E$13,Data!$G$13,IF(Biodiversity!E33=Data!$E$14,Data!$G$14,IF(Biodiversity!E33=Data!$E$15,Data!$G$15,IF(Biodiversity!E33=Data!$E$16,Data!$G$16,IF(Biodiversity!E33=Data!$E$17,Data!$G$17,IF(Biodiversity!E33=Data!$E$18,Data!$G$18,IF(Biodiversity!E33=Data!$E$19,Data!$G$19,IF(Biodiversity!E33=Data!$E$20,Data!$G$20,IF(Biodiversity!E33=Data!$E$21,Data!$G$21,"")))))))))))))))))))</f>
        <v>?</v>
      </c>
      <c r="M33" s="16" t="str">
        <f t="shared" si="0"/>
        <v>?</v>
      </c>
      <c r="N33" s="16" t="str">
        <f t="shared" si="1"/>
        <v>?</v>
      </c>
      <c r="O33" s="15" t="str">
        <f t="shared" si="2"/>
        <v>?</v>
      </c>
      <c r="P33" s="15" t="str">
        <f t="shared" si="3"/>
        <v>?</v>
      </c>
      <c r="Q33" s="7"/>
      <c r="R33" s="26" t="str">
        <f>IFERROR(IF(AA33="A",K33,Biodiversity!K33*Biodiversity!M33*O33),"?")</f>
        <v>?</v>
      </c>
      <c r="S33" s="16" t="str">
        <f>IFERROR(IF(AC33="A",L33,Biodiversity!L33*Biodiversity!N33*P33),"?")</f>
        <v>?</v>
      </c>
      <c r="U33" s="15">
        <f t="shared" si="4"/>
        <v>0</v>
      </c>
      <c r="V33" s="15">
        <f t="shared" si="5"/>
        <v>0</v>
      </c>
      <c r="W33" s="15"/>
      <c r="X33" s="15">
        <f>'Biodiversity Assessment'!CH40</f>
        <v>0</v>
      </c>
      <c r="Y33" s="15">
        <f>'Biodiversity Assessment'!CJ40</f>
        <v>0</v>
      </c>
      <c r="Z33" s="15"/>
      <c r="AA33" s="15" t="str">
        <f>'Biodiversity Assessment'!J40</f>
        <v/>
      </c>
      <c r="AB33" s="67" t="str">
        <f>'Biodiversity Assessment'!K40</f>
        <v>?</v>
      </c>
      <c r="AC33" s="15" t="str">
        <f>'Biodiversity Assessment'!R40</f>
        <v/>
      </c>
      <c r="AD33" s="67" t="str">
        <f>'Biodiversity Assessment'!S40</f>
        <v>?</v>
      </c>
      <c r="AF33" s="58" t="s">
        <v>447</v>
      </c>
      <c r="AG33" s="60">
        <f>IF(AB11=23,D11,0)+ IF(AB12=23,D12,0)+ IF(AB13=23,D13,0)+ IF(AB14=23,D14,0)+ IF(AB15=23,D15,0)+ IF(AB16=23,D16,0)+ IF(AB17=23,D17,0)+ IF(AB18=23,D18,0)+ IF(AB19=23,D19,0)+ IF(AB20=23,D20,0)+ IF(AB21=23,D21,0)+ IF(AB22=23,D22,0)+ IF(AB23=23,D23,0)+ IF(AB24=23,D24,0)+ IF(AB25=23,D25,0)+ IF(AB26=23,D26,0)+ IF(AB27=23,D27,0)+ IF(AB28=23,D28,0)+ IF(AB29=23,D29,0)+ IF(AB30=23,D30,0)+ IF(AB31=23,D31,0)+ IF(AB32=23,D32,0)+ IF(AB33=23,D33,0)+ IF(AB34=23,D34,0)+ IF(AB35=23,D35,0)+ IF(AB36=23,D36,0)+ IF(AB37=23,D37,0)+ IF(AB38=23,D38,0)+ IF(AB39=23,D39,0)+ IF(AB40=23,D40,0)</f>
        <v>0</v>
      </c>
      <c r="AH33" s="62">
        <f>IF(AND(AG33&gt;=0,AG33&lt;100),AG33*Data!$L$18+Data!$L$11,IF(AND(AG33&gt;=100,AG33&lt;1000),AG33*Data!$L$19+Data!$L$12,IF(AND(AG33&gt;=1000,AG33&lt;10000),AG33*Data!$L$20+Data!$L$13,IF(AND(AG33&gt;=10000,AG33&lt;100000),AG33*Data!$L$21+Data!$L$14,IF(AND(AG33&gt;=100000,AG33&lt;1000000),AG33*Data!$L$22+Data!$L$15,IF(AG33&gt;=1000000,1,"?"))))))</f>
        <v>0.35</v>
      </c>
      <c r="AI33" s="76">
        <f t="shared" si="6"/>
        <v>0</v>
      </c>
      <c r="AJ33" s="66">
        <f>IF(AD11=23,F11,0)+ IF(AD12=23,F12,0)+ IF(AD13=23,F13,0)+ IF(AD14=23,F14,0)+ IF(AD15=23,F15,0)+ IF(AD16=23,F16,0)+ IF(AD17=23,F17,0)+ IF(AD18=23,F18,0)+ IF(AD19=23,F19,0)+ IF(AD20=23,F20,0)+ IF(AD21=23,F21,0)+ IF(AD22=23,F22,0)+ IF(AD23=23,F23,0)+ IF(AD24=23,F24,0)+ IF(AD25=23,F25,0)+ IF(AD26=23,F26,0)+ IF(AD27=23,F27,0)+ IF(AD28=23,F28,0)+ IF(AD29=23,F29,0)+ IF(AD30=23,F30,0)+ IF(AD31=23,F31,0)+ IF(AD32=23,F32,0)+ IF(AD33=23,F33,0)+ IF(AD34=23,F34,0)+ IF(AD35=23,F35,0)+ IF(AD36=23,F36,0)+ IF(AD37=23,F37,0)+ IF(AD38=23,F38,0)+ IF(AD39=23,F39,0)+ IF(AD40=23,F40,0)</f>
        <v>0</v>
      </c>
      <c r="AK33" s="66">
        <f>IF(AND(AJ33&gt;=0,AJ33&lt;100),AJ33*Data!$L$18+Data!$L$11,IF(AND(AJ33&gt;=100,AJ33&lt;1000),AJ33*Data!$L$19+Data!$L$12,IF(AND(AJ33&gt;=1000,AJ33&lt;10000),AJ33*Data!$L$20+Data!$L$13,IF(AND(AJ33&gt;=10000,AJ33&lt;100000),AJ33*Data!$L$21+Data!$L$14,IF(AND(AJ33&gt;=100000,AJ33&lt;1000000),AJ33*Data!$L$22+Data!$L$15,IF(AJ33&gt;=1000000,1,"?"))))))</f>
        <v>0.35</v>
      </c>
      <c r="AL33" s="3">
        <f t="shared" si="7"/>
        <v>0</v>
      </c>
    </row>
    <row r="34" spans="1:38" ht="14.5" x14ac:dyDescent="0.25">
      <c r="A34" s="7"/>
      <c r="B34" s="7" t="s">
        <v>417</v>
      </c>
      <c r="C34" s="7" t="str">
        <f>'Biodiversity Assessment'!G41</f>
        <v>Select land use</v>
      </c>
      <c r="D34" s="7">
        <f>'Biodiversity Assessment'!M41</f>
        <v>0</v>
      </c>
      <c r="E34" s="7" t="str">
        <f>'Biodiversity Assessment'!O41</f>
        <v>Select land use</v>
      </c>
      <c r="F34" s="60">
        <f>'Biodiversity Assessment'!U41</f>
        <v>0</v>
      </c>
      <c r="G34" s="60"/>
      <c r="H34" s="60"/>
      <c r="I34" s="60">
        <f>'Biodiversity Assessment'!BD41</f>
        <v>0</v>
      </c>
      <c r="J34" s="60">
        <f>'Biodiversity Assessment'!BF41</f>
        <v>0</v>
      </c>
      <c r="K34" s="16" t="str">
        <f>IF(C34=Data!$E$3,"?",IF(Biodiversity!C34=Data!$E$4,Data!$G$4,IF(Biodiversity!C34=Data!$E$5,Data!$G$5,IF(Biodiversity!C34=Data!$E$6,Data!$G$6,IF(Biodiversity!C34=Data!$E$7,Data!$G$7,IF(Biodiversity!C34=Data!$E$8,Data!$G$8,IF(Biodiversity!C34=Data!$E$9,Data!$G$9,IF(Biodiversity!C34=Data!$E$10,Data!$G$10,IF(Biodiversity!C34=Data!$E$11,Data!$G$11,IF(Biodiversity!C34=Data!$E$12,Data!$G$12,IF(Biodiversity!C34=Data!$E$13,Data!$G$13,IF(Biodiversity!C34=Data!$E$14,Data!$G$14,IF(Biodiversity!C34=Data!$E$15,Data!$G$15,IF(Biodiversity!C34=Data!$E$16,Data!$G$16,IF(Biodiversity!C34=Data!$E$17,Data!$G$17,IF(Biodiversity!C34=Data!$E$18,Data!$G$18,IF(Biodiversity!C34=Data!$E$19,Data!$G$19,IF(Biodiversity!C34=Data!$E$20,Data!$G$20,IF(Biodiversity!C34=Data!$E$21,Data!$G$21,"")))))))))))))))))))</f>
        <v>?</v>
      </c>
      <c r="L34" s="16" t="str">
        <f>IF(E34=Data!$E$3,"?",IF(Biodiversity!E34=Data!$E$4,Data!$G$4,IF(Biodiversity!E34=Data!$E$5,Data!$G$5,IF(Biodiversity!E34=Data!$E$6,Data!$G$6,IF(Biodiversity!E34=Data!$E$7,Data!$G$7,IF(Biodiversity!E34=Data!$E$8,Data!$G$8,IF(Biodiversity!E34=Data!$E$9,Data!$G$9,IF(Biodiversity!E34=Data!$E$10,Data!$G$10,IF(Biodiversity!E34=Data!$E$11,Data!$G$11,IF(Biodiversity!E34=Data!$E$12,Data!$G$12,IF(Biodiversity!E34=Data!$E$13,Data!$G$13,IF(Biodiversity!E34=Data!$E$14,Data!$G$14,IF(Biodiversity!E34=Data!$E$15,Data!$G$15,IF(Biodiversity!E34=Data!$E$16,Data!$G$16,IF(Biodiversity!E34=Data!$E$17,Data!$G$17,IF(Biodiversity!E34=Data!$E$18,Data!$G$18,IF(Biodiversity!E34=Data!$E$19,Data!$G$19,IF(Biodiversity!E34=Data!$E$20,Data!$G$20,IF(Biodiversity!E34=Data!$E$21,Data!$G$21,"")))))))))))))))))))</f>
        <v>?</v>
      </c>
      <c r="M34" s="16" t="str">
        <f t="shared" si="0"/>
        <v>?</v>
      </c>
      <c r="N34" s="16" t="str">
        <f t="shared" si="1"/>
        <v>?</v>
      </c>
      <c r="O34" s="15" t="str">
        <f t="shared" si="2"/>
        <v>?</v>
      </c>
      <c r="P34" s="15" t="str">
        <f t="shared" si="3"/>
        <v>?</v>
      </c>
      <c r="Q34" s="7"/>
      <c r="R34" s="26" t="str">
        <f>IFERROR(IF(AA34="A",K34,Biodiversity!K34*Biodiversity!M34*O34),"?")</f>
        <v>?</v>
      </c>
      <c r="S34" s="16" t="str">
        <f>IFERROR(IF(AC34="A",L34,Biodiversity!L34*Biodiversity!N34*P34),"?")</f>
        <v>?</v>
      </c>
      <c r="U34" s="15">
        <f t="shared" si="4"/>
        <v>0</v>
      </c>
      <c r="V34" s="15">
        <f t="shared" si="5"/>
        <v>0</v>
      </c>
      <c r="W34" s="15"/>
      <c r="X34" s="15">
        <f>'Biodiversity Assessment'!CH41</f>
        <v>0</v>
      </c>
      <c r="Y34" s="15">
        <f>'Biodiversity Assessment'!CJ41</f>
        <v>0</v>
      </c>
      <c r="Z34" s="15"/>
      <c r="AA34" s="15" t="str">
        <f>'Biodiversity Assessment'!J41</f>
        <v/>
      </c>
      <c r="AB34" s="67" t="str">
        <f>'Biodiversity Assessment'!K41</f>
        <v>?</v>
      </c>
      <c r="AC34" s="15" t="str">
        <f>'Biodiversity Assessment'!R41</f>
        <v/>
      </c>
      <c r="AD34" s="67" t="str">
        <f>'Biodiversity Assessment'!S41</f>
        <v>?</v>
      </c>
      <c r="AF34" s="58" t="s">
        <v>448</v>
      </c>
      <c r="AG34" s="60">
        <f>IF(AB11=24,D11,0)+ IF(AB12=24,D12,0)+ IF(AB13=24,D13,0)+ IF(AB14=24,D14,0)+ IF(AB15=24,D15,0)+ IF(AB16=24,D16,0)+ IF(AB17=24,D17,0)+ IF(AB18=24,D18,0)+ IF(AB19=24,D19,0)+ IF(AB20=24,D20,0)+ IF(AB21=24,D21,0)+ IF(AB22=24,D22,0)+ IF(AB23=24,D23,0)+ IF(AB24=24,D24,0)+ IF(AB25=24,D25,0)+ IF(AB26=24,D26,0)+ IF(AB27=24,D27,0)+ IF(AB28=24,D28,0)+ IF(AB29=24,D29,0)+ IF(AB30=24,D30,0)+ IF(AB31=24,D31,0)+ IF(AB32=24,D32,0)+ IF(AB33=24,D33,0)+ IF(AB34=24,D34,0)+ IF(AB35=24,D35,0)+ IF(AB36=24,D36,0)+ IF(AB37=24,D37,0)+ IF(AB38=24,D38,0)+ IF(AB39=24,D39,0)+ IF(AB40=24,D40,0)</f>
        <v>0</v>
      </c>
      <c r="AH34" s="62">
        <f>IF(AND(AG34&gt;=0,AG34&lt;100),AG34*Data!$L$18+Data!$L$11,IF(AND(AG34&gt;=100,AG34&lt;1000),AG34*Data!$L$19+Data!$L$12,IF(AND(AG34&gt;=1000,AG34&lt;10000),AG34*Data!$L$20+Data!$L$13,IF(AND(AG34&gt;=10000,AG34&lt;100000),AG34*Data!$L$21+Data!$L$14,IF(AND(AG34&gt;=100000,AG34&lt;1000000),AG34*Data!$L$22+Data!$L$15,IF(AG34&gt;=1000000,1,"?"))))))</f>
        <v>0.35</v>
      </c>
      <c r="AI34" s="76">
        <f t="shared" si="6"/>
        <v>0</v>
      </c>
      <c r="AJ34" s="66">
        <f>IF(AD11=24,F11,0)+ IF(AD12=24,F12,0)+ IF(AD13=24,F13,0)+ IF(AD14=24,F14,0)+ IF(AD15=24,F15,0)+ IF(AD16=24,F16,0)+ IF(AD17=24,F17,0)+ IF(AD18=24,F18,0)+ IF(AD19=24,F19,0)+ IF(AD20=24,F20,0)+ IF(AD21=24,F21,0)+ IF(AD22=24,F22,0)+ IF(AD23=24,F23,0)+ IF(AD24=24,F24,0)+ IF(AD25=24,F25,0)+ IF(AD26=24,F26,0)+ IF(AD27=24,F27,0)+ IF(AD28=24,F28,0)+ IF(AD29=24,F29,0)+ IF(AD30=24,F30,0)+ IF(AD31=24,F31,0)+ IF(AD32=24,F32,0)+ IF(AD33=24,F33,0)+ IF(AD34=24,F34,0)+ IF(AD35=24,F35,0)+ IF(AD36=24,F36,0)+ IF(AD37=24,F37,0)+ IF(AD38=24,F38,0)+ IF(AD39=24,F39,0)+ IF(AD40=24,F40,0)</f>
        <v>0</v>
      </c>
      <c r="AK34" s="66">
        <f>IF(AND(AJ34&gt;=0,AJ34&lt;100),AJ34*Data!$L$18+Data!$L$11,IF(AND(AJ34&gt;=100,AJ34&lt;1000),AJ34*Data!$L$19+Data!$L$12,IF(AND(AJ34&gt;=1000,AJ34&lt;10000),AJ34*Data!$L$20+Data!$L$13,IF(AND(AJ34&gt;=10000,AJ34&lt;100000),AJ34*Data!$L$21+Data!$L$14,IF(AND(AJ34&gt;=100000,AJ34&lt;1000000),AJ34*Data!$L$22+Data!$L$15,IF(AJ34&gt;=1000000,1,"?"))))))</f>
        <v>0.35</v>
      </c>
      <c r="AL34" s="3">
        <f t="shared" si="7"/>
        <v>0</v>
      </c>
    </row>
    <row r="35" spans="1:38" ht="14.5" x14ac:dyDescent="0.25">
      <c r="A35" s="7"/>
      <c r="B35" s="7" t="s">
        <v>418</v>
      </c>
      <c r="C35" s="7" t="str">
        <f>'Biodiversity Assessment'!G42</f>
        <v>Select land use</v>
      </c>
      <c r="D35" s="7">
        <f>'Biodiversity Assessment'!M42</f>
        <v>0</v>
      </c>
      <c r="E35" s="7" t="str">
        <f>'Biodiversity Assessment'!O42</f>
        <v>Select land use</v>
      </c>
      <c r="F35" s="60">
        <f>'Biodiversity Assessment'!U42</f>
        <v>0</v>
      </c>
      <c r="G35" s="60"/>
      <c r="H35" s="60"/>
      <c r="I35" s="60">
        <f>'Biodiversity Assessment'!BD42</f>
        <v>0</v>
      </c>
      <c r="J35" s="60">
        <f>'Biodiversity Assessment'!BF42</f>
        <v>0</v>
      </c>
      <c r="K35" s="16" t="str">
        <f>IF(C35=Data!$E$3,"?",IF(Biodiversity!C35=Data!$E$4,Data!$G$4,IF(Biodiversity!C35=Data!$E$5,Data!$G$5,IF(Biodiversity!C35=Data!$E$6,Data!$G$6,IF(Biodiversity!C35=Data!$E$7,Data!$G$7,IF(Biodiversity!C35=Data!$E$8,Data!$G$8,IF(Biodiversity!C35=Data!$E$9,Data!$G$9,IF(Biodiversity!C35=Data!$E$10,Data!$G$10,IF(Biodiversity!C35=Data!$E$11,Data!$G$11,IF(Biodiversity!C35=Data!$E$12,Data!$G$12,IF(Biodiversity!C35=Data!$E$13,Data!$G$13,IF(Biodiversity!C35=Data!$E$14,Data!$G$14,IF(Biodiversity!C35=Data!$E$15,Data!$G$15,IF(Biodiversity!C35=Data!$E$16,Data!$G$16,IF(Biodiversity!C35=Data!$E$17,Data!$G$17,IF(Biodiversity!C35=Data!$E$18,Data!$G$18,IF(Biodiversity!C35=Data!$E$19,Data!$G$19,IF(Biodiversity!C35=Data!$E$20,Data!$G$20,IF(Biodiversity!C35=Data!$E$21,Data!$G$21,"")))))))))))))))))))</f>
        <v>?</v>
      </c>
      <c r="L35" s="16" t="str">
        <f>IF(E35=Data!$E$3,"?",IF(Biodiversity!E35=Data!$E$4,Data!$G$4,IF(Biodiversity!E35=Data!$E$5,Data!$G$5,IF(Biodiversity!E35=Data!$E$6,Data!$G$6,IF(Biodiversity!E35=Data!$E$7,Data!$G$7,IF(Biodiversity!E35=Data!$E$8,Data!$G$8,IF(Biodiversity!E35=Data!$E$9,Data!$G$9,IF(Biodiversity!E35=Data!$E$10,Data!$G$10,IF(Biodiversity!E35=Data!$E$11,Data!$G$11,IF(Biodiversity!E35=Data!$E$12,Data!$G$12,IF(Biodiversity!E35=Data!$E$13,Data!$G$13,IF(Biodiversity!E35=Data!$E$14,Data!$G$14,IF(Biodiversity!E35=Data!$E$15,Data!$G$15,IF(Biodiversity!E35=Data!$E$16,Data!$G$16,IF(Biodiversity!E35=Data!$E$17,Data!$G$17,IF(Biodiversity!E35=Data!$E$18,Data!$G$18,IF(Biodiversity!E35=Data!$E$19,Data!$G$19,IF(Biodiversity!E35=Data!$E$20,Data!$G$20,IF(Biodiversity!E35=Data!$E$21,Data!$G$21,"")))))))))))))))))))</f>
        <v>?</v>
      </c>
      <c r="M35" s="16" t="str">
        <f t="shared" si="0"/>
        <v>?</v>
      </c>
      <c r="N35" s="16" t="str">
        <f t="shared" si="1"/>
        <v>?</v>
      </c>
      <c r="O35" s="15" t="str">
        <f t="shared" si="2"/>
        <v>?</v>
      </c>
      <c r="P35" s="15" t="str">
        <f t="shared" si="3"/>
        <v>?</v>
      </c>
      <c r="Q35" s="7"/>
      <c r="R35" s="26" t="str">
        <f>IFERROR(IF(AA35="A",K35,Biodiversity!K35*Biodiversity!M35*O35),"?")</f>
        <v>?</v>
      </c>
      <c r="S35" s="16" t="str">
        <f>IFERROR(IF(AC35="A",L35,Biodiversity!L35*Biodiversity!N35*P35),"?")</f>
        <v>?</v>
      </c>
      <c r="U35" s="15">
        <f t="shared" si="4"/>
        <v>0</v>
      </c>
      <c r="V35" s="15">
        <f t="shared" si="5"/>
        <v>0</v>
      </c>
      <c r="W35" s="15"/>
      <c r="X35" s="15">
        <f>'Biodiversity Assessment'!CH42</f>
        <v>0</v>
      </c>
      <c r="Y35" s="15">
        <f>'Biodiversity Assessment'!CJ42</f>
        <v>0</v>
      </c>
      <c r="Z35" s="15"/>
      <c r="AA35" s="15" t="str">
        <f>'Biodiversity Assessment'!J42</f>
        <v/>
      </c>
      <c r="AB35" s="67" t="str">
        <f>'Biodiversity Assessment'!K42</f>
        <v>?</v>
      </c>
      <c r="AC35" s="15" t="str">
        <f>'Biodiversity Assessment'!R42</f>
        <v/>
      </c>
      <c r="AD35" s="67" t="str">
        <f>'Biodiversity Assessment'!S42</f>
        <v>?</v>
      </c>
      <c r="AF35" s="58" t="s">
        <v>449</v>
      </c>
      <c r="AG35" s="60">
        <f>IF(AB11=25,D11,0)+ IF(AB12=25,D12,0)+ IF(AB13=25,D13,0)+ IF(AB14=25,D14,0)+ IF(AB15=25,D15,0)+ IF(AB16=25,D16,0)+ IF(AB17=25,D17,0)+ IF(AB18=25,D18,0)+ IF(AB19=25,D19,0)+ IF(AB20=25,D20,0)+ IF(AB21=25,D21,0)+ IF(AB22=25,D22,0)+ IF(AB23=25,D23,0)+ IF(AB24=25,D24,0)+ IF(AB25=25,D25,0)+ IF(AB26=25,D26,0)+ IF(AB27=25,D27,0)+ IF(AB28=25,D28,0)+ IF(AB29=25,D29,0)+ IF(AB30=25,D30,0)+ IF(AB31=25,D31,0)+ IF(AB32=25,D32,0)+ IF(AB33=25,D33,0)+ IF(AB34=25,D34,0)+ IF(AB35=25,D35,0)+ IF(AB36=25,D36,0)+ IF(AB37=25,D37,0)+ IF(AB38=25,D38,0)+ IF(AB39=25,D39,0)+ IF(AB40=25,D40,0)</f>
        <v>0</v>
      </c>
      <c r="AH35" s="62">
        <f>IF(AND(AG35&gt;=0,AG35&lt;100),AG35*Data!$L$18+Data!$L$11,IF(AND(AG35&gt;=100,AG35&lt;1000),AG35*Data!$L$19+Data!$L$12,IF(AND(AG35&gt;=1000,AG35&lt;10000),AG35*Data!$L$20+Data!$L$13,IF(AND(AG35&gt;=10000,AG35&lt;100000),AG35*Data!$L$21+Data!$L$14,IF(AND(AG35&gt;=100000,AG35&lt;1000000),AG35*Data!$L$22+Data!$L$15,IF(AG35&gt;=1000000,1,"?"))))))</f>
        <v>0.35</v>
      </c>
      <c r="AI35" s="76">
        <f t="shared" si="6"/>
        <v>0</v>
      </c>
      <c r="AJ35" s="66">
        <f>IF(AD11=25,F11,0)+ IF(AD12=25,F12,0)+ IF(AD13=25,F13,0)+ IF(AD14=25,F14,0)+ IF(AD15=25,F15,0)+ IF(AD16=25,F16,0)+ IF(AD17=25,F17,0)+ IF(AD18=25,F18,0)+ IF(AD19=25,F19,0)+ IF(AD20=25,F20,0)+ IF(AD21=25,F21,0)+ IF(AD22=25,F22,0)+ IF(AD23=25,F23,0)+ IF(AD24=25,F24,0)+ IF(AD25=25,F25,0)+ IF(AD26=25,F26,0)+ IF(AD27=25,F27,0)+ IF(AD28=25,F28,0)+ IF(AD29=25,F29,0)+ IF(AD30=25,F30,0)+ IF(AD31=25,F31,0)+ IF(AD32=25,F32,0)+ IF(AD33=25,F33,0)+ IF(AD34=25,F34,0)+ IF(AD35=25,F35,0)+ IF(AD36=25,F36,0)+ IF(AD37=25,F37,0)+ IF(AD38=25,F38,0)+ IF(AD39=25,F39,0)+ IF(AD40=25,F40,0)</f>
        <v>0</v>
      </c>
      <c r="AK35" s="66">
        <f>IF(AND(AJ35&gt;=0,AJ35&lt;100),AJ35*Data!$L$18+Data!$L$11,IF(AND(AJ35&gt;=100,AJ35&lt;1000),AJ35*Data!$L$19+Data!$L$12,IF(AND(AJ35&gt;=1000,AJ35&lt;10000),AJ35*Data!$L$20+Data!$L$13,IF(AND(AJ35&gt;=10000,AJ35&lt;100000),AJ35*Data!$L$21+Data!$L$14,IF(AND(AJ35&gt;=100000,AJ35&lt;1000000),AJ35*Data!$L$22+Data!$L$15,IF(AJ35&gt;=1000000,1,"?"))))))</f>
        <v>0.35</v>
      </c>
      <c r="AL35" s="3">
        <f t="shared" si="7"/>
        <v>0</v>
      </c>
    </row>
    <row r="36" spans="1:38" ht="14.5" x14ac:dyDescent="0.25">
      <c r="A36" s="7"/>
      <c r="B36" s="7" t="s">
        <v>419</v>
      </c>
      <c r="C36" s="7" t="str">
        <f>'Biodiversity Assessment'!G43</f>
        <v>Select land use</v>
      </c>
      <c r="D36" s="7">
        <f>'Biodiversity Assessment'!M43</f>
        <v>0</v>
      </c>
      <c r="E36" s="7" t="str">
        <f>'Biodiversity Assessment'!O43</f>
        <v>Select land use</v>
      </c>
      <c r="F36" s="60">
        <f>'Biodiversity Assessment'!U43</f>
        <v>0</v>
      </c>
      <c r="G36" s="7"/>
      <c r="H36" s="7"/>
      <c r="I36" s="60">
        <f>'Biodiversity Assessment'!BD43</f>
        <v>0</v>
      </c>
      <c r="J36" s="60">
        <f>'Biodiversity Assessment'!BF43</f>
        <v>0</v>
      </c>
      <c r="K36" s="16" t="str">
        <f>IF(C36=Data!$E$3,"?",IF(Biodiversity!C36=Data!$E$4,Data!$G$4,IF(Biodiversity!C36=Data!$E$5,Data!$G$5,IF(Biodiversity!C36=Data!$E$6,Data!$G$6,IF(Biodiversity!C36=Data!$E$7,Data!$G$7,IF(Biodiversity!C36=Data!$E$8,Data!$G$8,IF(Biodiversity!C36=Data!$E$9,Data!$G$9,IF(Biodiversity!C36=Data!$E$10,Data!$G$10,IF(Biodiversity!C36=Data!$E$11,Data!$G$11,IF(Biodiversity!C36=Data!$E$12,Data!$G$12,IF(Biodiversity!C36=Data!$E$13,Data!$G$13,IF(Biodiversity!C36=Data!$E$14,Data!$G$14,IF(Biodiversity!C36=Data!$E$15,Data!$G$15,IF(Biodiversity!C36=Data!$E$16,Data!$G$16,IF(Biodiversity!C36=Data!$E$17,Data!$G$17,IF(Biodiversity!C36=Data!$E$18,Data!$G$18,IF(Biodiversity!C36=Data!$E$19,Data!$G$19,IF(Biodiversity!C36=Data!$E$20,Data!$G$20,IF(Biodiversity!C36=Data!$E$21,Data!$G$21,"")))))))))))))))))))</f>
        <v>?</v>
      </c>
      <c r="L36" s="16" t="str">
        <f>IF(E36=Data!$E$3,"?",IF(Biodiversity!E36=Data!$E$4,Data!$G$4,IF(Biodiversity!E36=Data!$E$5,Data!$G$5,IF(Biodiversity!E36=Data!$E$6,Data!$G$6,IF(Biodiversity!E36=Data!$E$7,Data!$G$7,IF(Biodiversity!E36=Data!$E$8,Data!$G$8,IF(Biodiversity!E36=Data!$E$9,Data!$G$9,IF(Biodiversity!E36=Data!$E$10,Data!$G$10,IF(Biodiversity!E36=Data!$E$11,Data!$G$11,IF(Biodiversity!E36=Data!$E$12,Data!$G$12,IF(Biodiversity!E36=Data!$E$13,Data!$G$13,IF(Biodiversity!E36=Data!$E$14,Data!$G$14,IF(Biodiversity!E36=Data!$E$15,Data!$G$15,IF(Biodiversity!E36=Data!$E$16,Data!$G$16,IF(Biodiversity!E36=Data!$E$17,Data!$G$17,IF(Biodiversity!E36=Data!$E$18,Data!$G$18,IF(Biodiversity!E36=Data!$E$19,Data!$G$19,IF(Biodiversity!E36=Data!$E$20,Data!$G$20,IF(Biodiversity!E36=Data!$E$21,Data!$G$21,"")))))))))))))))))))</f>
        <v>?</v>
      </c>
      <c r="M36" s="16" t="str">
        <f t="shared" si="0"/>
        <v>?</v>
      </c>
      <c r="N36" s="16" t="str">
        <f t="shared" si="1"/>
        <v>?</v>
      </c>
      <c r="O36" s="15" t="str">
        <f t="shared" si="2"/>
        <v>?</v>
      </c>
      <c r="P36" s="15" t="str">
        <f t="shared" si="3"/>
        <v>?</v>
      </c>
      <c r="Q36" s="7"/>
      <c r="R36" s="26" t="str">
        <f>IFERROR(IF(AA36="A",K36,Biodiversity!K36*Biodiversity!M36*O36),"?")</f>
        <v>?</v>
      </c>
      <c r="S36" s="16" t="str">
        <f>IFERROR(IF(AC36="A",L36,Biodiversity!L36*Biodiversity!N36*P36),"?")</f>
        <v>?</v>
      </c>
      <c r="U36" s="15">
        <f t="shared" si="4"/>
        <v>0</v>
      </c>
      <c r="V36" s="15">
        <f t="shared" si="5"/>
        <v>0</v>
      </c>
      <c r="X36" s="15">
        <f>'Biodiversity Assessment'!CH43</f>
        <v>0</v>
      </c>
      <c r="Y36" s="15">
        <f>'Biodiversity Assessment'!CJ43</f>
        <v>0</v>
      </c>
      <c r="AA36" s="15" t="str">
        <f>'Biodiversity Assessment'!J43</f>
        <v/>
      </c>
      <c r="AB36" s="67" t="str">
        <f>'Biodiversity Assessment'!K43</f>
        <v>?</v>
      </c>
      <c r="AC36" s="15" t="str">
        <f>'Biodiversity Assessment'!R43</f>
        <v/>
      </c>
      <c r="AD36" s="67" t="str">
        <f>'Biodiversity Assessment'!S43</f>
        <v>?</v>
      </c>
      <c r="AF36" s="58" t="s">
        <v>450</v>
      </c>
      <c r="AG36" s="62">
        <f>IF(AB11=26,D11,0)+ IF(AB12=26,D12,0)+ IF(AB13=26,D13,0)+ IF(AB14=26,D14,0)+ IF(AB15=26,D15,0)+ IF(AB16=26,D16,0)+ IF(AB17=26,D17,0)+ IF(AB18=26,D18,0)+ IF(AB19=26,D19,0)+ IF(AB20=26,D20,0)+ IF(AB21=26,D21,0)+ IF(AB22=26,D22,0)+ IF(AB23=26,D23,0)+ IF(AB24=26,D24,0)+ IF(AB25=26,D25,0)+ IF(AB26=26,D26,0)+ IF(AB27=26,D27,0)+ IF(AB28=26,D28,0)+ IF(AB29=26,D29,0)+ IF(AB30=26,D30,0)+ IF(AB31=26,D31,0)+ IF(AB32=26,D32,0)+ IF(AB33=26,D33,0)+ IF(AB34=26,D34,0)+ IF(AB35=26,D35,0)+ IF(AB36=26,D36,0)+ IF(AB37=26,D37,0)+ IF(AB38=26,D38,0)+ IF(AB39=26,D39,0)+ IF(AB40=26,D40,0)</f>
        <v>0</v>
      </c>
      <c r="AH36" s="62">
        <f>IF(AND(AG36&gt;=0,AG36&lt;100),AG36*Data!$L$18+Data!$L$11,IF(AND(AG36&gt;=100,AG36&lt;1000),AG36*Data!$L$19+Data!$L$12,IF(AND(AG36&gt;=1000,AG36&lt;10000),AG36*Data!$L$20+Data!$L$13,IF(AND(AG36&gt;=10000,AG36&lt;100000),AG36*Data!$L$21+Data!$L$14,IF(AND(AG36&gt;=100000,AG36&lt;1000000),AG36*Data!$L$22+Data!$L$15,IF(AG36&gt;=1000000,1,"?"))))))</f>
        <v>0.35</v>
      </c>
      <c r="AI36" s="76">
        <f t="shared" si="6"/>
        <v>0</v>
      </c>
      <c r="AJ36" s="4">
        <f>IF(AD11=26,F11,0)+ IF(AD12=26,F12,0)+ IF(AD13=26,F13,0)+ IF(AD14=26,F14,0)+ IF(AD15=26,F15,0)+ IF(AD16=26,F16,0)+ IF(AD17=26,F17,0)+ IF(AD18=26,F18,0)+ IF(AD19=26,F19,0)+ IF(AD20=26,F20,0)+ IF(AD21=26,F21,0)+ IF(AD22=26,F22,0)+ IF(AD23=26,F23,0)+ IF(AD24=26,F24,0)+ IF(AD25=26,F25,0)+ IF(AD26=26,F26,0)+ IF(AD27=26,F27,0)+ IF(AD28=26,F28,0)+ IF(AD29=26,F29,0)+ IF(AD30=26,F30,0)+ IF(AD31=26,F31,0)+ IF(AD32=26,F32,0)+ IF(AD33=26,F33,0)+ IF(AD34=26,F34,0)+ IF(AD35=26,F35,0)+ IF(AD36=26,F36,0)+ IF(AD37=26,F37,0)+ IF(AD38=26,F38,0)+ IF(AD39=26,F39,0)+ IF(AD40=26,F40,0)</f>
        <v>0</v>
      </c>
      <c r="AK36" s="66">
        <f>IF(AND(AJ36&gt;=0,AJ36&lt;100),AJ36*Data!$L$18+Data!$L$11,IF(AND(AJ36&gt;=100,AJ36&lt;1000),AJ36*Data!$L$19+Data!$L$12,IF(AND(AJ36&gt;=1000,AJ36&lt;10000),AJ36*Data!$L$20+Data!$L$13,IF(AND(AJ36&gt;=10000,AJ36&lt;100000),AJ36*Data!$L$21+Data!$L$14,IF(AND(AJ36&gt;=100000,AJ36&lt;1000000),AJ36*Data!$L$22+Data!$L$15,IF(AJ36&gt;=1000000,1,"?"))))))</f>
        <v>0.35</v>
      </c>
      <c r="AL36" s="3">
        <f t="shared" si="7"/>
        <v>0</v>
      </c>
    </row>
    <row r="37" spans="1:38" ht="14.5" x14ac:dyDescent="0.25">
      <c r="A37" s="7"/>
      <c r="B37" s="7" t="s">
        <v>420</v>
      </c>
      <c r="C37" s="7" t="str">
        <f>'Biodiversity Assessment'!G44</f>
        <v>Select land use</v>
      </c>
      <c r="D37" s="7">
        <f>'Biodiversity Assessment'!M44</f>
        <v>0</v>
      </c>
      <c r="E37" s="7" t="str">
        <f>'Biodiversity Assessment'!O44</f>
        <v>Select land use</v>
      </c>
      <c r="F37" s="60">
        <f>'Biodiversity Assessment'!U44</f>
        <v>0</v>
      </c>
      <c r="G37" s="7"/>
      <c r="H37" s="7"/>
      <c r="I37" s="60">
        <f>'Biodiversity Assessment'!BD44</f>
        <v>0</v>
      </c>
      <c r="J37" s="60">
        <f>'Biodiversity Assessment'!BF44</f>
        <v>0</v>
      </c>
      <c r="K37" s="16" t="str">
        <f>IF(C37=Data!$E$3,"?",IF(Biodiversity!C37=Data!$E$4,Data!$G$4,IF(Biodiversity!C37=Data!$E$5,Data!$G$5,IF(Biodiversity!C37=Data!$E$6,Data!$G$6,IF(Biodiversity!C37=Data!$E$7,Data!$G$7,IF(Biodiversity!C37=Data!$E$8,Data!$G$8,IF(Biodiversity!C37=Data!$E$9,Data!$G$9,IF(Biodiversity!C37=Data!$E$10,Data!$G$10,IF(Biodiversity!C37=Data!$E$11,Data!$G$11,IF(Biodiversity!C37=Data!$E$12,Data!$G$12,IF(Biodiversity!C37=Data!$E$13,Data!$G$13,IF(Biodiversity!C37=Data!$E$14,Data!$G$14,IF(Biodiversity!C37=Data!$E$15,Data!$G$15,IF(Biodiversity!C37=Data!$E$16,Data!$G$16,IF(Biodiversity!C37=Data!$E$17,Data!$G$17,IF(Biodiversity!C37=Data!$E$18,Data!$G$18,IF(Biodiversity!C37=Data!$E$19,Data!$G$19,IF(Biodiversity!C37=Data!$E$20,Data!$G$20,IF(Biodiversity!C37=Data!$E$21,Data!$G$21,"")))))))))))))))))))</f>
        <v>?</v>
      </c>
      <c r="L37" s="16" t="str">
        <f>IF(E37=Data!$E$3,"?",IF(Biodiversity!E37=Data!$E$4,Data!$G$4,IF(Biodiversity!E37=Data!$E$5,Data!$G$5,IF(Biodiversity!E37=Data!$E$6,Data!$G$6,IF(Biodiversity!E37=Data!$E$7,Data!$G$7,IF(Biodiversity!E37=Data!$E$8,Data!$G$8,IF(Biodiversity!E37=Data!$E$9,Data!$G$9,IF(Biodiversity!E37=Data!$E$10,Data!$G$10,IF(Biodiversity!E37=Data!$E$11,Data!$G$11,IF(Biodiversity!E37=Data!$E$12,Data!$G$12,IF(Biodiversity!E37=Data!$E$13,Data!$G$13,IF(Biodiversity!E37=Data!$E$14,Data!$G$14,IF(Biodiversity!E37=Data!$E$15,Data!$G$15,IF(Biodiversity!E37=Data!$E$16,Data!$G$16,IF(Biodiversity!E37=Data!$E$17,Data!$G$17,IF(Biodiversity!E37=Data!$E$18,Data!$G$18,IF(Biodiversity!E37=Data!$E$19,Data!$G$19,IF(Biodiversity!E37=Data!$E$20,Data!$G$20,IF(Biodiversity!E37=Data!$E$21,Data!$G$21,"")))))))))))))))))))</f>
        <v>?</v>
      </c>
      <c r="M37" s="16" t="str">
        <f t="shared" si="0"/>
        <v>?</v>
      </c>
      <c r="N37" s="16" t="str">
        <f t="shared" si="1"/>
        <v>?</v>
      </c>
      <c r="O37" s="15" t="str">
        <f t="shared" si="2"/>
        <v>?</v>
      </c>
      <c r="P37" s="15" t="str">
        <f t="shared" si="3"/>
        <v>?</v>
      </c>
      <c r="Q37" s="7"/>
      <c r="R37" s="26" t="str">
        <f>IFERROR(IF(AA37="A",K37,Biodiversity!K37*Biodiversity!M37*O37),"?")</f>
        <v>?</v>
      </c>
      <c r="S37" s="16" t="str">
        <f>IFERROR(IF(AC37="A",L37,Biodiversity!L37*Biodiversity!N37*P37),"?")</f>
        <v>?</v>
      </c>
      <c r="U37" s="15">
        <f t="shared" si="4"/>
        <v>0</v>
      </c>
      <c r="V37" s="15">
        <f t="shared" si="5"/>
        <v>0</v>
      </c>
      <c r="X37" s="15">
        <f>'Biodiversity Assessment'!CH44</f>
        <v>0</v>
      </c>
      <c r="Y37" s="15">
        <f>'Biodiversity Assessment'!CJ44</f>
        <v>0</v>
      </c>
      <c r="AA37" s="15" t="str">
        <f>'Biodiversity Assessment'!J44</f>
        <v/>
      </c>
      <c r="AB37" s="67" t="str">
        <f>'Biodiversity Assessment'!K44</f>
        <v>?</v>
      </c>
      <c r="AC37" s="15" t="str">
        <f>'Biodiversity Assessment'!R44</f>
        <v/>
      </c>
      <c r="AD37" s="67" t="str">
        <f>'Biodiversity Assessment'!S44</f>
        <v>?</v>
      </c>
      <c r="AF37" s="58" t="s">
        <v>451</v>
      </c>
      <c r="AG37" s="62">
        <f>IF(AB11=27,D11,0)+ IF(AB12=27,D12,0)+ IF(AB13=27,D13,0)+ IF(AB14=27,D14,0)+ IF(AB15=27,D15,0)+ IF(AB16=27,D16,0)+ IF(AB17=27,D17,0)+ IF(AB18=27,D18,0)+ IF(AB19=27,D19,0)+ IF(AB20=27,D20,0)+ IF(AB21=27,D21,0)+ IF(AB22=27,D22,0)+ IF(AB23=27,D23,0)+ IF(AB24=27,D24,0)+ IF(AB25=27,D25,0)+ IF(AB26=27,D26,0)+ IF(AB27=27,D27,0)+ IF(AB28=27,D28,0)+ IF(AB29=27,D29,0)+ IF(AB30=27,D30,0)+ IF(AB31=27,D31,0)+ IF(AB32=27,D32,0)+ IF(AB33=27,D33,0)+ IF(AB34=27,D34,0)+ IF(AB35=27,D35,0)+ IF(AB36=27,D36,0)+ IF(AB37=27,D37,0)+ IF(AB38=27,D38,0)+ IF(AB39=27,D39,0)+ IF(AB40=27,D40,0)</f>
        <v>0</v>
      </c>
      <c r="AH37" s="62">
        <f>IF(AND(AG37&gt;=0,AG37&lt;100),AG37*Data!$L$18+Data!$L$11,IF(AND(AG37&gt;=100,AG37&lt;1000),AG37*Data!$L$19+Data!$L$12,IF(AND(AG37&gt;=1000,AG37&lt;10000),AG37*Data!$L$20+Data!$L$13,IF(AND(AG37&gt;=10000,AG37&lt;100000),AG37*Data!$L$21+Data!$L$14,IF(AND(AG37&gt;=100000,AG37&lt;1000000),AG37*Data!$L$22+Data!$L$15,IF(AG37&gt;=1000000,1,"?"))))))</f>
        <v>0.35</v>
      </c>
      <c r="AI37" s="76">
        <f t="shared" si="6"/>
        <v>0</v>
      </c>
      <c r="AJ37" s="4">
        <f>IF(AD11=27,F11,0)+ IF(AD12=27,F12,0)+ IF(AD13=27,F13,0)+ IF(AD14=27,F14,0)+ IF(AD15=27,F15,0)+ IF(AD16=27,F16,0)+ IF(AD17=27,F17,0)+ IF(AD18=27,F18,0)+ IF(AD19=27,F19,0)+ IF(AD20=27,F20,0)+ IF(AD21=27,F21,0)+ IF(AD22=27,F22,0)+ IF(AD23=27,F23,0)+ IF(AD24=27,F24,0)+ IF(AD25=27,F25,0)+ IF(AD26=27,F26,0)+ IF(AD27=27,F27,0)+ IF(AD28=27,F28,0)+ IF(AD29=27,F29,0)+ IF(AD30=27,F30,0)+ IF(AD31=27,F31,0)+ IF(AD32=27,F32,0)+ IF(AD33=27,F33,0)+ IF(AD34=27,F34,0)+ IF(AD35=27,F35,0)+ IF(AD36=27,F36,0)+ IF(AD37=27,F37,0)+ IF(AD38=27,F38,0)+ IF(AD39=27,F39,0)+ IF(AD40=27,F40,0)</f>
        <v>0</v>
      </c>
      <c r="AK37" s="66">
        <f>IF(AND(AJ37&gt;=0,AJ37&lt;100),AJ37*Data!$L$18+Data!$L$11,IF(AND(AJ37&gt;=100,AJ37&lt;1000),AJ37*Data!$L$19+Data!$L$12,IF(AND(AJ37&gt;=1000,AJ37&lt;10000),AJ37*Data!$L$20+Data!$L$13,IF(AND(AJ37&gt;=10000,AJ37&lt;100000),AJ37*Data!$L$21+Data!$L$14,IF(AND(AJ37&gt;=100000,AJ37&lt;1000000),AJ37*Data!$L$22+Data!$L$15,IF(AJ37&gt;=1000000,1,"?"))))))</f>
        <v>0.35</v>
      </c>
      <c r="AL37" s="3">
        <f t="shared" si="7"/>
        <v>0</v>
      </c>
    </row>
    <row r="38" spans="1:38" ht="14.5" x14ac:dyDescent="0.25">
      <c r="A38" s="7"/>
      <c r="B38" s="7" t="s">
        <v>421</v>
      </c>
      <c r="C38" s="7" t="str">
        <f>'Biodiversity Assessment'!G45</f>
        <v>Select land use</v>
      </c>
      <c r="D38" s="7">
        <f>'Biodiversity Assessment'!M45</f>
        <v>0</v>
      </c>
      <c r="E38" s="7" t="str">
        <f>'Biodiversity Assessment'!O45</f>
        <v>Select land use</v>
      </c>
      <c r="F38" s="60">
        <f>'Biodiversity Assessment'!U45</f>
        <v>0</v>
      </c>
      <c r="G38" s="7"/>
      <c r="H38" s="7"/>
      <c r="I38" s="60">
        <f>'Biodiversity Assessment'!BD45</f>
        <v>0</v>
      </c>
      <c r="J38" s="60">
        <f>'Biodiversity Assessment'!BF45</f>
        <v>0</v>
      </c>
      <c r="K38" s="16" t="str">
        <f>IF(C38=Data!$E$3,"?",IF(Biodiversity!C38=Data!$E$4,Data!$G$4,IF(Biodiversity!C38=Data!$E$5,Data!$G$5,IF(Biodiversity!C38=Data!$E$6,Data!$G$6,IF(Biodiversity!C38=Data!$E$7,Data!$G$7,IF(Biodiversity!C38=Data!$E$8,Data!$G$8,IF(Biodiversity!C38=Data!$E$9,Data!$G$9,IF(Biodiversity!C38=Data!$E$10,Data!$G$10,IF(Biodiversity!C38=Data!$E$11,Data!$G$11,IF(Biodiversity!C38=Data!$E$12,Data!$G$12,IF(Biodiversity!C38=Data!$E$13,Data!$G$13,IF(Biodiversity!C38=Data!$E$14,Data!$G$14,IF(Biodiversity!C38=Data!$E$15,Data!$G$15,IF(Biodiversity!C38=Data!$E$16,Data!$G$16,IF(Biodiversity!C38=Data!$E$17,Data!$G$17,IF(Biodiversity!C38=Data!$E$18,Data!$G$18,IF(Biodiversity!C38=Data!$E$19,Data!$G$19,IF(Biodiversity!C38=Data!$E$20,Data!$G$20,IF(Biodiversity!C38=Data!$E$21,Data!$G$21,"")))))))))))))))))))</f>
        <v>?</v>
      </c>
      <c r="L38" s="16" t="str">
        <f>IF(E38=Data!$E$3,"?",IF(Biodiversity!E38=Data!$E$4,Data!$G$4,IF(Biodiversity!E38=Data!$E$5,Data!$G$5,IF(Biodiversity!E38=Data!$E$6,Data!$G$6,IF(Biodiversity!E38=Data!$E$7,Data!$G$7,IF(Biodiversity!E38=Data!$E$8,Data!$G$8,IF(Biodiversity!E38=Data!$E$9,Data!$G$9,IF(Biodiversity!E38=Data!$E$10,Data!$G$10,IF(Biodiversity!E38=Data!$E$11,Data!$G$11,IF(Biodiversity!E38=Data!$E$12,Data!$G$12,IF(Biodiversity!E38=Data!$E$13,Data!$G$13,IF(Biodiversity!E38=Data!$E$14,Data!$G$14,IF(Biodiversity!E38=Data!$E$15,Data!$G$15,IF(Biodiversity!E38=Data!$E$16,Data!$G$16,IF(Biodiversity!E38=Data!$E$17,Data!$G$17,IF(Biodiversity!E38=Data!$E$18,Data!$G$18,IF(Biodiversity!E38=Data!$E$19,Data!$G$19,IF(Biodiversity!E38=Data!$E$20,Data!$G$20,IF(Biodiversity!E38=Data!$E$21,Data!$G$21,"")))))))))))))))))))</f>
        <v>?</v>
      </c>
      <c r="M38" s="16" t="str">
        <f t="shared" si="0"/>
        <v>?</v>
      </c>
      <c r="N38" s="16" t="str">
        <f t="shared" si="1"/>
        <v>?</v>
      </c>
      <c r="O38" s="15" t="str">
        <f t="shared" si="2"/>
        <v>?</v>
      </c>
      <c r="P38" s="15" t="str">
        <f t="shared" si="3"/>
        <v>?</v>
      </c>
      <c r="Q38" s="7"/>
      <c r="R38" s="26" t="str">
        <f>IFERROR(IF(AA38="A",K38,Biodiversity!K38*Biodiversity!M38*O38),"?")</f>
        <v>?</v>
      </c>
      <c r="S38" s="16" t="str">
        <f>IFERROR(IF(AC38="A",L38,Biodiversity!L38*Biodiversity!N38*P38),"?")</f>
        <v>?</v>
      </c>
      <c r="U38" s="15">
        <f t="shared" si="4"/>
        <v>0</v>
      </c>
      <c r="V38" s="15">
        <f t="shared" si="5"/>
        <v>0</v>
      </c>
      <c r="X38" s="15">
        <f>'Biodiversity Assessment'!CH45</f>
        <v>0</v>
      </c>
      <c r="Y38" s="15">
        <f>'Biodiversity Assessment'!CJ45</f>
        <v>0</v>
      </c>
      <c r="AA38" s="15" t="str">
        <f>'Biodiversity Assessment'!J45</f>
        <v/>
      </c>
      <c r="AB38" s="67" t="str">
        <f>'Biodiversity Assessment'!K45</f>
        <v>?</v>
      </c>
      <c r="AC38" s="15" t="str">
        <f>'Biodiversity Assessment'!R45</f>
        <v/>
      </c>
      <c r="AD38" s="67" t="str">
        <f>'Biodiversity Assessment'!S45</f>
        <v>?</v>
      </c>
      <c r="AF38" s="58" t="s">
        <v>452</v>
      </c>
      <c r="AG38" s="62">
        <f>IF(AB11=28,D11,0)+ IF(AB12=28,D12,0)+ IF(AB13=28,D13,0)+ IF(AB14=28,D14,0)+ IF(AB15=28,D15,0)+ IF(AB16=28,D16,0)+ IF(AB17=28,D17,0)+ IF(AB18=28,D18,0)+ IF(AB19=28,D19,0)+ IF(AB20=28,D20,0)+ IF(AB21=28,D21,0)+ IF(AB22=28,D22,0)+ IF(AB23=28,D23,0)+ IF(AB24=28,D24,0)+ IF(AB25=28,D25,0)+ IF(AB26=28,D26,0)+ IF(AB27=28,D27,0)+ IF(AB28=28,D28,0)+ IF(AB29=28,D29,0)+ IF(AB30=28,D30,0)+ IF(AB31=28,D31,0)+ IF(AB32=28,D32,0)+ IF(AB33=28,D33,0)+ IF(AB34=28,D34,0)+ IF(AB35=28,D35,0)+ IF(AB36=28,D36,0)+ IF(AB37=28,D37,0)+ IF(AB38=28,D38,0)+ IF(AB39=28,D39,0)+ IF(AB40=28,D40,0)</f>
        <v>0</v>
      </c>
      <c r="AH38" s="62">
        <f>IF(AND(AG38&gt;=0,AG38&lt;100),AG38*Data!$L$18+Data!$L$11,IF(AND(AG38&gt;=100,AG38&lt;1000),AG38*Data!$L$19+Data!$L$12,IF(AND(AG38&gt;=1000,AG38&lt;10000),AG38*Data!$L$20+Data!$L$13,IF(AND(AG38&gt;=10000,AG38&lt;100000),AG38*Data!$L$21+Data!$L$14,IF(AND(AG38&gt;=100000,AG38&lt;1000000),AG38*Data!$L$22+Data!$L$15,IF(AG38&gt;=1000000,1,"?"))))))</f>
        <v>0.35</v>
      </c>
      <c r="AI38" s="76">
        <f t="shared" si="6"/>
        <v>0</v>
      </c>
      <c r="AJ38" s="4">
        <f>IF(AD11=28,F11,0)+ IF(AD12=28,F12,0)+ IF(AD13=28,F13,0)+ IF(AD14=28,F14,0)+ IF(AD15=28,F15,0)+ IF(AD16=28,F16,0)+ IF(AD17=28,F17,0)+ IF(AD18=28,F18,0)+ IF(AD19=28,F19,0)+ IF(AD20=28,F20,0)+ IF(AD21=28,F21,0)+ IF(AD22=28,F22,0)+ IF(AD23=28,F23,0)+ IF(AD24=28,F24,0)+ IF(AD25=28,F25,0)+ IF(AD26=28,F26,0)+ IF(AD27=28,F27,0)+ IF(AD28=28,F28,0)+ IF(AD29=28,F29,0)+ IF(AD30=28,F30,0)+ IF(AD31=28,F31,0)+ IF(AD32=28,F32,0)+ IF(AD33=28,F33,0)+ IF(AD34=28,F34,0)+ IF(AD35=28,F35,0)+ IF(AD36=28,F36,0)+ IF(AD37=28,F37,0)+ IF(AD38=28,F38,0)+ IF(AD39=28,F39,0)+ IF(AD40=28,F40,0)</f>
        <v>0</v>
      </c>
      <c r="AK38" s="66">
        <f>IF(AND(AJ38&gt;=0,AJ38&lt;100),AJ38*Data!$L$18+Data!$L$11,IF(AND(AJ38&gt;=100,AJ38&lt;1000),AJ38*Data!$L$19+Data!$L$12,IF(AND(AJ38&gt;=1000,AJ38&lt;10000),AJ38*Data!$L$20+Data!$L$13,IF(AND(AJ38&gt;=10000,AJ38&lt;100000),AJ38*Data!$L$21+Data!$L$14,IF(AND(AJ38&gt;=100000,AJ38&lt;1000000),AJ38*Data!$L$22+Data!$L$15,IF(AJ38&gt;=1000000,1,"?"))))))</f>
        <v>0.35</v>
      </c>
      <c r="AL38" s="3">
        <f t="shared" si="7"/>
        <v>0</v>
      </c>
    </row>
    <row r="39" spans="1:38" ht="14.5" x14ac:dyDescent="0.25">
      <c r="A39" s="7"/>
      <c r="B39" s="7" t="s">
        <v>422</v>
      </c>
      <c r="C39" s="7" t="str">
        <f>'Biodiversity Assessment'!G46</f>
        <v>Select land use</v>
      </c>
      <c r="D39" s="7">
        <f>'Biodiversity Assessment'!M46</f>
        <v>0</v>
      </c>
      <c r="E39" s="7" t="str">
        <f>'Biodiversity Assessment'!O46</f>
        <v>Select land use</v>
      </c>
      <c r="F39" s="60">
        <f>'Biodiversity Assessment'!U46</f>
        <v>0</v>
      </c>
      <c r="G39" s="7"/>
      <c r="H39" s="7"/>
      <c r="I39" s="60">
        <f>'Biodiversity Assessment'!BD46</f>
        <v>0</v>
      </c>
      <c r="J39" s="60">
        <f>'Biodiversity Assessment'!BF46</f>
        <v>0</v>
      </c>
      <c r="K39" s="16" t="str">
        <f>IF(C39=Data!$E$3,"?",IF(Biodiversity!C39=Data!$E$4,Data!$G$4,IF(Biodiversity!C39=Data!$E$5,Data!$G$5,IF(Biodiversity!C39=Data!$E$6,Data!$G$6,IF(Biodiversity!C39=Data!$E$7,Data!$G$7,IF(Biodiversity!C39=Data!$E$8,Data!$G$8,IF(Biodiversity!C39=Data!$E$9,Data!$G$9,IF(Biodiversity!C39=Data!$E$10,Data!$G$10,IF(Biodiversity!C39=Data!$E$11,Data!$G$11,IF(Biodiversity!C39=Data!$E$12,Data!$G$12,IF(Biodiversity!C39=Data!$E$13,Data!$G$13,IF(Biodiversity!C39=Data!$E$14,Data!$G$14,IF(Biodiversity!C39=Data!$E$15,Data!$G$15,IF(Biodiversity!C39=Data!$E$16,Data!$G$16,IF(Biodiversity!C39=Data!$E$17,Data!$G$17,IF(Biodiversity!C39=Data!$E$18,Data!$G$18,IF(Biodiversity!C39=Data!$E$19,Data!$G$19,IF(Biodiversity!C39=Data!$E$20,Data!$G$20,IF(Biodiversity!C39=Data!$E$21,Data!$G$21,"")))))))))))))))))))</f>
        <v>?</v>
      </c>
      <c r="L39" s="16" t="str">
        <f>IF(E39=Data!$E$3,"?",IF(Biodiversity!E39=Data!$E$4,Data!$G$4,IF(Biodiversity!E39=Data!$E$5,Data!$G$5,IF(Biodiversity!E39=Data!$E$6,Data!$G$6,IF(Biodiversity!E39=Data!$E$7,Data!$G$7,IF(Biodiversity!E39=Data!$E$8,Data!$G$8,IF(Biodiversity!E39=Data!$E$9,Data!$G$9,IF(Biodiversity!E39=Data!$E$10,Data!$G$10,IF(Biodiversity!E39=Data!$E$11,Data!$G$11,IF(Biodiversity!E39=Data!$E$12,Data!$G$12,IF(Biodiversity!E39=Data!$E$13,Data!$G$13,IF(Biodiversity!E39=Data!$E$14,Data!$G$14,IF(Biodiversity!E39=Data!$E$15,Data!$G$15,IF(Biodiversity!E39=Data!$E$16,Data!$G$16,IF(Biodiversity!E39=Data!$E$17,Data!$G$17,IF(Biodiversity!E39=Data!$E$18,Data!$G$18,IF(Biodiversity!E39=Data!$E$19,Data!$G$19,IF(Biodiversity!E39=Data!$E$20,Data!$G$20,IF(Biodiversity!E39=Data!$E$21,Data!$G$21,"")))))))))))))))))))</f>
        <v>?</v>
      </c>
      <c r="M39" s="16" t="str">
        <f t="shared" si="0"/>
        <v>?</v>
      </c>
      <c r="N39" s="16" t="str">
        <f t="shared" si="1"/>
        <v>?</v>
      </c>
      <c r="O39" s="15" t="str">
        <f t="shared" si="2"/>
        <v>?</v>
      </c>
      <c r="P39" s="15" t="str">
        <f t="shared" si="3"/>
        <v>?</v>
      </c>
      <c r="Q39" s="7"/>
      <c r="R39" s="26" t="str">
        <f>IFERROR(IF(AA39="A",K39,Biodiversity!K39*Biodiversity!M39*O39),"?")</f>
        <v>?</v>
      </c>
      <c r="S39" s="16" t="str">
        <f>IFERROR(IF(AC39="A",L39,Biodiversity!L39*Biodiversity!N39*P39),"?")</f>
        <v>?</v>
      </c>
      <c r="U39" s="15">
        <f t="shared" si="4"/>
        <v>0</v>
      </c>
      <c r="V39" s="15">
        <f t="shared" si="5"/>
        <v>0</v>
      </c>
      <c r="X39" s="15">
        <f>'Biodiversity Assessment'!CH46</f>
        <v>0</v>
      </c>
      <c r="Y39" s="15">
        <f>'Biodiversity Assessment'!CJ46</f>
        <v>0</v>
      </c>
      <c r="AA39" s="15" t="str">
        <f>'Biodiversity Assessment'!J46</f>
        <v/>
      </c>
      <c r="AB39" s="67" t="str">
        <f>'Biodiversity Assessment'!K46</f>
        <v>?</v>
      </c>
      <c r="AC39" s="15" t="str">
        <f>'Biodiversity Assessment'!R46</f>
        <v/>
      </c>
      <c r="AD39" s="67" t="str">
        <f>'Biodiversity Assessment'!S46</f>
        <v>?</v>
      </c>
      <c r="AF39" s="58" t="s">
        <v>453</v>
      </c>
      <c r="AG39" s="62">
        <f>IF(AB11=29,D11,0)+ IF(AB12=29,D12,0)+ IF(AB13=29,D13,0)+ IF(AB14=29,D14,0)+ IF(AB15=29,D15,0)+ IF(AB16=29,D16,0)+ IF(AB17=29,D17,0)+ IF(AB18=29,D18,0)+ IF(AB19=29,D19,0)+ IF(AB20=29,D20,0)+ IF(AB21=29,D21,0)+ IF(AB22=29,D22,0)+ IF(AB23=29,D23,0)+ IF(AB24=29,D24,0)+ IF(AB25=29,D25,0)+ IF(AB26=29,D26,0)+ IF(AB27=29,D27,0)+ IF(AB28=29,D28,0)+ IF(AB29=29,D29,0)+ IF(AB30=29,D30,0)+ IF(AB31=29,D31,0)+ IF(AB32=29,D32,0)+ IF(AB33=29,D33,0)+ IF(AB34=29,D34,0)+ IF(AB35=29,D35,0)+ IF(AB36=29,D36,0)+ IF(AB37=29,D37,0)+ IF(AB38=29,D38,0)+ IF(AB39=29,D39,0)+ IF(AB40=29,D40,0)</f>
        <v>0</v>
      </c>
      <c r="AH39" s="62">
        <f>IF(AND(AG39&gt;=0,AG39&lt;100),AG39*Data!$L$18+Data!$L$11,IF(AND(AG39&gt;=100,AG39&lt;1000),AG39*Data!$L$19+Data!$L$12,IF(AND(AG39&gt;=1000,AG39&lt;10000),AG39*Data!$L$20+Data!$L$13,IF(AND(AG39&gt;=10000,AG39&lt;100000),AG39*Data!$L$21+Data!$L$14,IF(AND(AG39&gt;=100000,AG39&lt;1000000),AG39*Data!$L$22+Data!$L$15,IF(AG39&gt;=1000000,1,"?"))))))</f>
        <v>0.35</v>
      </c>
      <c r="AI39" s="76">
        <f t="shared" si="6"/>
        <v>0</v>
      </c>
      <c r="AJ39" s="4">
        <f>IF(AD11=29,F11,0)+ IF(AD12=29,F12,0)+ IF(AD13=29,F13,0)+ IF(AD14=29,F14,0)+ IF(AD15=29,F15,0)+ IF(AD16=29,F16,0)+ IF(AD17=29,F17,0)+ IF(AD18=29,F18,0)+ IF(AD19=29,F19,0)+ IF(AD20=29,F20,0)+ IF(AD21=29,F21,0)+ IF(AD22=29,F22,0)+ IF(AD23=29,F23,0)+ IF(AD24=29,F24,0)+ IF(AD25=29,F25,0)+ IF(AD26=29,F26,0)+ IF(AD27=29,F27,0)+ IF(AD28=29,F28,0)+ IF(AD29=29,F29,0)+ IF(AD30=29,F30,0)+ IF(AD31=29,F31,0)+ IF(AD32=29,F32,0)+ IF(AD33=29,F33,0)+ IF(AD34=29,F34,0)+ IF(AD35=29,F35,0)+ IF(AD36=29,F36,0)+ IF(AD37=29,F37,0)+ IF(AD38=29,F38,0)+ IF(AD39=29,F39,0)+ IF(AD40=29,F40,0)</f>
        <v>0</v>
      </c>
      <c r="AK39" s="66">
        <f>IF(AND(AJ39&gt;=0,AJ39&lt;100),AJ39*Data!$L$18+Data!$L$11,IF(AND(AJ39&gt;=100,AJ39&lt;1000),AJ39*Data!$L$19+Data!$L$12,IF(AND(AJ39&gt;=1000,AJ39&lt;10000),AJ39*Data!$L$20+Data!$L$13,IF(AND(AJ39&gt;=10000,AJ39&lt;100000),AJ39*Data!$L$21+Data!$L$14,IF(AND(AJ39&gt;=100000,AJ39&lt;1000000),AJ39*Data!$L$22+Data!$L$15,IF(AJ39&gt;=1000000,1,"?"))))))</f>
        <v>0.35</v>
      </c>
      <c r="AL39" s="3">
        <f t="shared" si="7"/>
        <v>0</v>
      </c>
    </row>
    <row r="40" spans="1:38" ht="14.5" x14ac:dyDescent="0.25">
      <c r="A40" s="7"/>
      <c r="B40" s="7" t="s">
        <v>423</v>
      </c>
      <c r="C40" s="7" t="str">
        <f>'Biodiversity Assessment'!G47</f>
        <v>Select land use</v>
      </c>
      <c r="D40" s="7">
        <f>'Biodiversity Assessment'!M47</f>
        <v>0</v>
      </c>
      <c r="E40" s="7" t="str">
        <f>'Biodiversity Assessment'!O47</f>
        <v>Select land use</v>
      </c>
      <c r="F40" s="60">
        <f>'Biodiversity Assessment'!U47</f>
        <v>0</v>
      </c>
      <c r="G40" s="7"/>
      <c r="H40" s="7"/>
      <c r="I40" s="60">
        <f>'Biodiversity Assessment'!BD47</f>
        <v>0</v>
      </c>
      <c r="J40" s="60">
        <f>'Biodiversity Assessment'!BF47</f>
        <v>0</v>
      </c>
      <c r="K40" s="16" t="str">
        <f>IF(C40=Data!$E$3,"?",IF(Biodiversity!C40=Data!$E$4,Data!$G$4,IF(Biodiversity!C40=Data!$E$5,Data!$G$5,IF(Biodiversity!C40=Data!$E$6,Data!$G$6,IF(Biodiversity!C40=Data!$E$7,Data!$G$7,IF(Biodiversity!C40=Data!$E$8,Data!$G$8,IF(Biodiversity!C40=Data!$E$9,Data!$G$9,IF(Biodiversity!C40=Data!$E$10,Data!$G$10,IF(Biodiversity!C40=Data!$E$11,Data!$G$11,IF(Biodiversity!C40=Data!$E$12,Data!$G$12,IF(Biodiversity!C40=Data!$E$13,Data!$G$13,IF(Biodiversity!C40=Data!$E$14,Data!$G$14,IF(Biodiversity!C40=Data!$E$15,Data!$G$15,IF(Biodiversity!C40=Data!$E$16,Data!$G$16,IF(Biodiversity!C40=Data!$E$17,Data!$G$17,IF(Biodiversity!C40=Data!$E$18,Data!$G$18,IF(Biodiversity!C40=Data!$E$19,Data!$G$19,IF(Biodiversity!C40=Data!$E$20,Data!$G$20,IF(Biodiversity!C40=Data!$E$21,Data!$G$21,"")))))))))))))))))))</f>
        <v>?</v>
      </c>
      <c r="L40" s="16" t="str">
        <f>IF(E40=Data!$E$3,"?",IF(Biodiversity!E40=Data!$E$4,Data!$G$4,IF(Biodiversity!E40=Data!$E$5,Data!$G$5,IF(Biodiversity!E40=Data!$E$6,Data!$G$6,IF(Biodiversity!E40=Data!$E$7,Data!$G$7,IF(Biodiversity!E40=Data!$E$8,Data!$G$8,IF(Biodiversity!E40=Data!$E$9,Data!$G$9,IF(Biodiversity!E40=Data!$E$10,Data!$G$10,IF(Biodiversity!E40=Data!$E$11,Data!$G$11,IF(Biodiversity!E40=Data!$E$12,Data!$G$12,IF(Biodiversity!E40=Data!$E$13,Data!$G$13,IF(Biodiversity!E40=Data!$E$14,Data!$G$14,IF(Biodiversity!E40=Data!$E$15,Data!$G$15,IF(Biodiversity!E40=Data!$E$16,Data!$G$16,IF(Biodiversity!E40=Data!$E$17,Data!$G$17,IF(Biodiversity!E40=Data!$E$18,Data!$G$18,IF(Biodiversity!E40=Data!$E$19,Data!$G$19,IF(Biodiversity!E40=Data!$E$20,Data!$G$20,IF(Biodiversity!E40=Data!$E$21,Data!$G$21,"")))))))))))))))))))</f>
        <v>?</v>
      </c>
      <c r="M40" s="16" t="str">
        <f t="shared" si="0"/>
        <v>?</v>
      </c>
      <c r="N40" s="16" t="str">
        <f t="shared" si="1"/>
        <v>?</v>
      </c>
      <c r="O40" s="15" t="str">
        <f t="shared" si="2"/>
        <v>?</v>
      </c>
      <c r="P40" s="15" t="str">
        <f t="shared" si="3"/>
        <v>?</v>
      </c>
      <c r="Q40" s="7"/>
      <c r="R40" s="26" t="str">
        <f>IFERROR(IF(AA40="A",K40,Biodiversity!K40*Biodiversity!M40*O40),"?")</f>
        <v>?</v>
      </c>
      <c r="S40" s="16" t="str">
        <f>IFERROR(IF(AC40="A",L40,Biodiversity!L40*Biodiversity!N40*P40),"?")</f>
        <v>?</v>
      </c>
      <c r="U40" s="15">
        <f t="shared" si="4"/>
        <v>0</v>
      </c>
      <c r="V40" s="15">
        <f t="shared" si="5"/>
        <v>0</v>
      </c>
      <c r="X40" s="15">
        <f>'Biodiversity Assessment'!CH47</f>
        <v>0</v>
      </c>
      <c r="Y40" s="15">
        <f>'Biodiversity Assessment'!CJ47</f>
        <v>0</v>
      </c>
      <c r="AA40" s="15" t="str">
        <f>'Biodiversity Assessment'!J47</f>
        <v/>
      </c>
      <c r="AB40" s="67" t="str">
        <f>'Biodiversity Assessment'!K47</f>
        <v>?</v>
      </c>
      <c r="AC40" s="15" t="str">
        <f>'Biodiversity Assessment'!R47</f>
        <v/>
      </c>
      <c r="AD40" s="67" t="str">
        <f>'Biodiversity Assessment'!S47</f>
        <v>?</v>
      </c>
      <c r="AF40" s="58" t="s">
        <v>454</v>
      </c>
      <c r="AG40" s="62">
        <f>IF(AB11=30,D11,0)+ IF(AB12=30,D12,0)+ IF(AB13=30,D13,0)+ IF(AB14=30,D14,0)+ IF(AB15=30,D15,0)+ IF(AB16=30,D16,0)+ IF(AB17=30,D17,0)+ IF(AB18=30,D18,0)+ IF(AB19=30,D19,0)+ IF(AB20=30,D20,0)+ IF(AB21=30,D21,0)+ IF(AB22=30,D22,0)+ IF(AB23=30,D23,0)+ IF(AB24=30,D24,0)+ IF(AB25=30,D25,0)+ IF(AB26=30,D26,0)+ IF(AB27=30,D27,0)+ IF(AB28=30,D28,0)+ IF(AB29=30,D29,0)+ IF(AB30=30,D30,0)+ IF(AB31=30,D31,0)+ IF(AB32=30,D32,0)+ IF(AB33=30,D33,0)+ IF(AB34=30,D34,0)+ IF(AB35=30,D35,0)+ IF(AB36=30,D36,0)+ IF(AB37=30,D37,0)+ IF(AB38=30,D38,0)+ IF(AB39=30,D39,0)+ IF(AB40=30,D40,0)</f>
        <v>0</v>
      </c>
      <c r="AH40" s="62">
        <f>IF(AND(AG40&gt;=0,AG40&lt;100),AG40*Data!$L$18+Data!$L$11,IF(AND(AG40&gt;=100,AG40&lt;1000),AG40*Data!$L$19+Data!$L$12,IF(AND(AG40&gt;=1000,AG40&lt;10000),AG40*Data!$L$20+Data!$L$13,IF(AND(AG40&gt;=10000,AG40&lt;100000),AG40*Data!$L$21+Data!$L$14,IF(AND(AG40&gt;=100000,AG40&lt;1000000),AG40*Data!$L$22+Data!$L$15,IF(AG40&gt;=1000000,1,"?"))))))</f>
        <v>0.35</v>
      </c>
      <c r="AI40" s="76">
        <f t="shared" si="6"/>
        <v>0</v>
      </c>
      <c r="AJ40" s="4">
        <f>IF(AD11=30,F11,0)+ IF(AD12=30,F12,0)+ IF(AD13=30,F13,0)+ IF(AD14=30,F14,0)+ IF(AD15=30,F15,0)+ IF(AD16=30,F16,0)+ IF(AD17=30,F17,0)+ IF(AD18=30,F18,0)+ IF(AD19=30,F19,0)+ IF(AD20=30,F20,0)+ IF(AD21=30,F21,0)+ IF(AD22=30,F22,0)+ IF(AD23=30,F23,0)+ IF(AD24=30,F24,0)+ IF(AD25=30,F25,0)+ IF(AD26=30,F26,0)+ IF(AD27=30,F27,0)+ IF(AD28=30,F28,0)+ IF(AD29=30,F29,0)+ IF(AD30=30,F30,0)+ IF(AD31=30,F31,0)+ IF(AD32=30,F32,0)+ IF(AD33=30,F33,0)+ IF(AD34=30,F34,0)+ IF(AD35=30,F35,0)+ IF(AD36=30,F36,0)+ IF(AD37=30,F37,0)+ IF(AD38=30,F38,0)+ IF(AD39=30,F39,0)+ IF(AD40=30,F40,0)</f>
        <v>0</v>
      </c>
      <c r="AK40" s="66">
        <f>IF(AND(AJ40&gt;=0,AJ40&lt;100),AJ40*Data!$L$18+Data!$L$11,IF(AND(AJ40&gt;=100,AJ40&lt;1000),AJ40*Data!$L$19+Data!$L$12,IF(AND(AJ40&gt;=1000,AJ40&lt;10000),AJ40*Data!$L$20+Data!$L$13,IF(AND(AJ40&gt;=10000,AJ40&lt;100000),AJ40*Data!$L$21+Data!$L$14,IF(AND(AJ40&gt;=100000,AJ40&lt;1000000),AJ40*Data!$L$22+Data!$L$15,IF(AJ40&gt;=1000000,1,"?"))))))</f>
        <v>0.35</v>
      </c>
      <c r="AL40" s="3">
        <f t="shared" si="7"/>
        <v>0</v>
      </c>
    </row>
    <row r="41" spans="1:38" x14ac:dyDescent="0.25">
      <c r="A41" s="7"/>
      <c r="B41" s="7"/>
      <c r="C41" s="7"/>
      <c r="D41" s="7"/>
      <c r="E41" s="7"/>
      <c r="F41" s="7"/>
      <c r="G41" s="7"/>
      <c r="H41" s="7"/>
      <c r="I41" s="7"/>
      <c r="J41" s="7"/>
      <c r="K41" s="7"/>
      <c r="L41" s="7"/>
      <c r="M41" s="7"/>
      <c r="N41" s="7"/>
      <c r="O41" s="7"/>
      <c r="P41" s="7"/>
      <c r="Q41" s="7"/>
      <c r="R41" s="7"/>
      <c r="S41" s="7"/>
      <c r="AF41" s="58"/>
      <c r="AG41" s="62"/>
      <c r="AH41" s="62"/>
      <c r="AI41" s="62"/>
      <c r="AJ41" s="23"/>
      <c r="AK41" s="62"/>
    </row>
    <row r="42" spans="1:38" x14ac:dyDescent="0.25">
      <c r="A42" s="7"/>
      <c r="B42" s="7"/>
      <c r="C42" s="12" t="s">
        <v>230</v>
      </c>
      <c r="D42" s="37">
        <f>IFERROR(1-I45,0)</f>
        <v>0</v>
      </c>
      <c r="E42" s="12" t="s">
        <v>230</v>
      </c>
      <c r="F42" s="37">
        <f>IFERROR(1-J45,0)</f>
        <v>0</v>
      </c>
      <c r="G42" s="463" t="s">
        <v>70</v>
      </c>
      <c r="H42" s="463"/>
      <c r="I42" s="463" t="s">
        <v>71</v>
      </c>
      <c r="J42" s="463"/>
      <c r="K42" s="460" t="s">
        <v>72</v>
      </c>
      <c r="L42" s="460"/>
      <c r="M42" s="460" t="s">
        <v>73</v>
      </c>
      <c r="N42" s="460"/>
      <c r="O42" s="7"/>
      <c r="P42" s="7"/>
      <c r="Q42" s="7"/>
      <c r="R42" s="460" t="s">
        <v>74</v>
      </c>
      <c r="S42" s="460"/>
      <c r="V42" s="31"/>
      <c r="W42" s="31"/>
      <c r="X42" s="31"/>
      <c r="Y42" s="31"/>
      <c r="Z42" s="31"/>
      <c r="AA42" s="31"/>
      <c r="AB42" s="31"/>
      <c r="AC42" s="31"/>
      <c r="AD42" s="31"/>
    </row>
    <row r="43" spans="1:38" x14ac:dyDescent="0.25">
      <c r="A43" s="7"/>
      <c r="B43" s="7"/>
      <c r="C43" s="7"/>
      <c r="D43" s="7"/>
      <c r="E43" s="7"/>
      <c r="F43" s="7"/>
      <c r="G43" s="463" t="s">
        <v>34</v>
      </c>
      <c r="H43" s="463"/>
      <c r="I43" s="463" t="s">
        <v>35</v>
      </c>
      <c r="J43" s="463"/>
      <c r="K43" s="460"/>
      <c r="L43" s="460"/>
      <c r="M43" s="460"/>
      <c r="N43" s="460"/>
      <c r="O43" s="7"/>
      <c r="P43" s="7"/>
      <c r="Q43" s="7"/>
      <c r="R43" s="460"/>
      <c r="S43" s="460"/>
      <c r="V43" s="31"/>
      <c r="W43" s="31"/>
      <c r="X43" s="31"/>
      <c r="Y43" s="31"/>
      <c r="Z43" s="31"/>
      <c r="AA43" s="31"/>
      <c r="AB43" s="31"/>
      <c r="AC43" s="31"/>
      <c r="AD43" s="31"/>
    </row>
    <row r="44" spans="1:38" x14ac:dyDescent="0.25">
      <c r="A44" s="7"/>
      <c r="B44" s="7"/>
      <c r="C44" s="7"/>
      <c r="D44" s="7"/>
      <c r="E44" s="7"/>
      <c r="F44" s="7"/>
      <c r="G44" s="27" t="s">
        <v>26</v>
      </c>
      <c r="H44" s="27" t="s">
        <v>12</v>
      </c>
      <c r="I44" s="27" t="s">
        <v>26</v>
      </c>
      <c r="J44" s="27" t="s">
        <v>12</v>
      </c>
      <c r="K44" s="28" t="s">
        <v>27</v>
      </c>
      <c r="L44" s="28" t="s">
        <v>49</v>
      </c>
      <c r="M44" s="28" t="s">
        <v>27</v>
      </c>
      <c r="N44" s="28" t="s">
        <v>49</v>
      </c>
      <c r="O44" s="7"/>
      <c r="P44" s="7"/>
      <c r="Q44" s="7"/>
      <c r="R44" s="28" t="s">
        <v>27</v>
      </c>
      <c r="S44" s="28" t="s">
        <v>49</v>
      </c>
      <c r="Y44" s="33"/>
      <c r="Z44" s="33"/>
      <c r="AA44" s="33"/>
      <c r="AB44" s="33"/>
      <c r="AC44" s="33"/>
      <c r="AD44" s="33"/>
      <c r="AE44" s="33" t="s">
        <v>162</v>
      </c>
      <c r="AF44" s="33" t="s">
        <v>163</v>
      </c>
    </row>
    <row r="45" spans="1:38" ht="14.5" x14ac:dyDescent="0.25">
      <c r="A45" s="7"/>
      <c r="B45" s="7"/>
      <c r="C45" s="25"/>
      <c r="D45" s="25"/>
      <c r="E45" s="25"/>
      <c r="F45" s="7"/>
      <c r="G45" s="64" t="str">
        <f>'Biodiversity Assessment'!G57:I57</f>
        <v>?</v>
      </c>
      <c r="H45" s="64" t="str">
        <f>'Biodiversity Assessment'!O57</f>
        <v>?</v>
      </c>
      <c r="I45" s="53" t="str">
        <f>IFERROR(SUM(IF(OR(C11=Data!E11,C11=Data!E12,C11=Data!E13,Biodiversity!C11=Data!E14,Biodiversity!C11=Data!E15,Biodiversity!C11=Data!E17,Biodiversity!C11=Data!E21),Biodiversity!D11,0), IF(OR(C12=Data!E11,C12=Data!E12,C12=Data!E13,Biodiversity!C12=Data!E14,Biodiversity!C12=Data!E15,Biodiversity!C12=Data!E17,Biodiversity!C12=Data!E21),Biodiversity!D12,0), IF(OR(C13=Data!E11,C13=Data!E12,C13=Data!E13,Biodiversity!C13=Data!E14,Biodiversity!C13=Data!E15,Biodiversity!C13=Data!E17,Biodiversity!C13=Data!E21),Biodiversity!D13,0), IF(OR(C14=Data!E11,C14=Data!E12,C14=Data!E13,Biodiversity!C14=Data!E14,Biodiversity!C14=Data!E15,Biodiversity!C14=Data!E17,Biodiversity!C14=Data!E21),Biodiversity!D14,0), IF(OR(C15=Data!E11,C15=Data!E12,C15=Data!E13,Biodiversity!C15=Data!E14,Biodiversity!C15=Data!E15,Biodiversity!C15=Data!E17,Biodiversity!C15=Data!E21),Biodiversity!D15,0), IF(OR(C16=Data!E11,C16=Data!E12,C16=Data!E13,Biodiversity!C16=Data!E14,Biodiversity!C16=Data!E15,Biodiversity!C17=Data!E16,Biodiversity!C16=Data!E21),Biodiversity!D16,0), IF(OR(C17=Data!E11,C17=Data!E12,C17=Data!E13,Biodiversity!C17=Data!E14,Biodiversity!C17=Data!E15,Biodiversity!C17=Data!E17,Biodiversity!C17=Data!E21),Biodiversity!D17,0), IF(OR(C18=Data!E11,C18=Data!E12,C18=Data!E13,Biodiversity!C18=Data!E14,Biodiversity!C18=Data!E15,Biodiversity!C18=Data!E17,Biodiversity!C18=Data!E21),Biodiversity!D18,0), IF(OR(C19=Data!E11,C19=Data!E12,C19=Data!E13,Biodiversity!C19=Data!E14,Biodiversity!C19=Data!E15,Biodiversity!C19=Data!E17,Biodiversity!C19=Data!E21),Biodiversity!D19,0), IF(OR(C20=Data!E11,C20=Data!E12,C20=Data!E13,Biodiversity!C20=Data!E14,Biodiversity!C20=Data!E15,Biodiversity!C20=Data!E17,Biodiversity!C20=Data!E21),Biodiversity!D20,0), IF(OR(C21=Data!E11,C21=Data!E12,C21=Data!E13,Biodiversity!C21=Data!E14,Biodiversity!C21=Data!E15,Biodiversity!C21=Data!E17,Biodiversity!C21=Data!E21),Biodiversity!D21,0), IF(OR(C22=Data!E11,C22=Data!E12,C22=Data!E13,Biodiversity!C22=Data!E14,Biodiversity!C22=Data!E15,Biodiversity!C22=Data!E17,Biodiversity!C22=Data!E21),Biodiversity!D22,0), IF(OR(C23=Data!E11,C23=Data!E12,C23=Data!E13,Biodiversity!C23=Data!E14,Biodiversity!C23=Data!E15,Biodiversity!C23=Data!E17,Biodiversity!C23=Data!E21),Biodiversity!D23,0), IF(OR(C24=Data!E11,C24=Data!E12,C24=Data!E13,Biodiversity!C24=Data!E14,Biodiversity!C24=Data!E15,Biodiversity!C24=Data!E17,Biodiversity!C24=Data!E21),Biodiversity!D24,0), IF(OR(C25=Data!E11,C25=Data!E12,C25=Data!E13,Biodiversity!C25=Data!E14,Biodiversity!C25=Data!E15,Biodiversity!C25=Data!E17,Biodiversity!C25=Data!E21),Biodiversity!D25,0), IF(OR(C26=Data!E11,C26=Data!E12,C26=Data!E13,Biodiversity!C26=Data!E14,Biodiversity!C26=Data!E15,Biodiversity!C26=Data!E17,Biodiversity!C26=Data!E21),Biodiversity!D26,0), IF(OR(C27=Data!E11,C27=Data!E12,C27=Data!E13,Biodiversity!C27=Data!E14,Biodiversity!C27=Data!E15,Biodiversity!C27=Data!E17,Biodiversity!C27=Data!E21),Biodiversity!D27,0), IF(OR(C28=Data!E11,C28=Data!E12,C28=Data!E13,Biodiversity!C28=Data!E14,Biodiversity!C28=Data!E15,Biodiversity!C28=Data!E17,Biodiversity!C28=Data!E21),Biodiversity!D28,0), IF(OR(C29=Data!E11,C29=Data!E12,C29=Data!E13,Biodiversity!C29=Data!E14,Biodiversity!C29=Data!E15,Biodiversity!C29=Data!E17,Biodiversity!C29=Data!E21),Biodiversity!D29,0), IF(OR(C30=Data!E11,C30=Data!E12,C30=Data!E13,Biodiversity!C30=Data!E14,Biodiversity!C30=Data!E15,Biodiversity!C30=Data!E17,Biodiversity!C30=Data!E21),Biodiversity!D30,0), IF(OR(C31=Data!E11,C31=Data!E12,C31=Data!E13,Biodiversity!C31=Data!E14,Biodiversity!C31=Data!E15,Biodiversity!C31=Data!E17,Biodiversity!C31=Data!E21),Biodiversity!D31,0), IF(OR(C32=Data!E11,C32=Data!E12,C32=Data!E13,Biodiversity!C32=Data!E14,Biodiversity!C32=Data!E15,Biodiversity!C32=Data!E17,Biodiversity!C32=Data!E21),Biodiversity!D32,0), IF(OR(C33=Data!E11,C33=Data!E12,C33=Data!E13,Biodiversity!C33=Data!E14,Biodiversity!C33=Data!E15,Biodiversity!C33=Data!E17,Biodiversity!C33=Data!E21),Biodiversity!D33,0), IF(OR(C34=Data!E11,C34=Data!E12,C34=Data!E13,Biodiversity!C34=Data!E14,Biodiversity!C34=Data!E15,Biodiversity!C34=Data!E17,Biodiversity!C34=Data!E21),Biodiversity!D34,0), IF(OR(C35=Data!E11,C35=Data!E12,C35=Data!E13,Biodiversity!C35=Data!E14,Biodiversity!C35=Data!E15,Biodiversity!C35=Data!E17,Biodiversity!C35=Data!E21),Biodiversity!D35,0), IF(OR(C36=Data!E11,C36=Data!E12,C36=Data!E13,Biodiversity!C36=Data!E14,Biodiversity!C36=Data!E15,Biodiversity!C36=Data!E17,Biodiversity!C36=Data!E21),Biodiversity!D36,0), IF(OR(C37=Data!E11,C37=Data!E12,C37=Data!E13,Biodiversity!C37=Data!E14,Biodiversity!C37=Data!E15,Biodiversity!C37=Data!E17,Biodiversity!C37=Data!E21),Biodiversity!D37,0), IF(OR(C38=Data!E11,C38=Data!E12,C38=Data!E13,Biodiversity!C38=Data!E14,Biodiversity!C38=Data!E15,Biodiversity!C38=Data!E17,Biodiversity!C38=Data!E21),Biodiversity!D38,0), IF(OR(C39=Data!E11,C39=Data!E12,C39=Data!E13,Biodiversity!C39=Data!E14,Biodiversity!C39=Data!E15,Biodiversity!C39=Data!E17,Biodiversity!C39=Data!E21),Biodiversity!D39,0), IF(OR(C40=Data!E11,C40=Data!E12,C40=Data!E13,Biodiversity!C40=Data!E14,Biodiversity!C40=Data!E15,Biodiversity!C40=Data!E17,Biodiversity!C40=Data!E21),Biodiversity!D40,0))/SUM(D11:D40),"?")</f>
        <v>?</v>
      </c>
      <c r="J45" s="53" t="str">
        <f>IFERROR(SUM(IF(OR(E11=Data!E11,E11=Data!E12,E11=Data!E13,Biodiversity!E11=Data!E14,Biodiversity!E11=Data!E15,Biodiversity!E11=Data!E17,Biodiversity!E11=Data!E21),Biodiversity!F11,0), IF(OR(E12=Data!E11,E12=Data!E12,E12=Data!E13,Biodiversity!E12=Data!E14,Biodiversity!E12=Data!E15,Biodiversity!E12=Data!E17,Biodiversity!E12=Data!E21),Biodiversity!F12,0), IF(OR(E13=Data!E11,E13=Data!E12,E13=Data!E13,Biodiversity!E13=Data!E14,Biodiversity!E13=Data!E15,Biodiversity!E13=Data!E17,Biodiversity!E13=Data!E21),Biodiversity!F13,0), IF(OR(E14=Data!E11,E14=Data!E12,E14=Data!E13,Biodiversity!E14=Data!E14,Biodiversity!E14=Data!E15,Biodiversity!E14=Data!E17,Biodiversity!E14=Data!E21),Biodiversity!F14,0), IF(OR(E15=Data!E11,E15=Data!E12,E15=Data!E13,Biodiversity!E15=Data!E14,Biodiversity!E15=Data!E15,Biodiversity!E15=Data!E17,Biodiversity!E15=Data!E21),Biodiversity!F15,0), IF(OR(E16=Data!E11,E16=Data!E12,E16=Data!E13,Biodiversity!E16=Data!E14,Biodiversity!E16=Data!E15,Biodiversity!E17=Data!E16,Biodiversity!E16=Data!E21),Biodiversity!F16,0), IF(OR(E17=Data!E11,E17=Data!E12,E17=Data!E13,Biodiversity!E17=Data!E14,Biodiversity!E17=Data!E15,Biodiversity!E17=Data!E17,Biodiversity!E17=Data!E21),Biodiversity!F17,0), IF(OR(E18=Data!E11,E18=Data!E12,E18=Data!E13,Biodiversity!E18=Data!E14,Biodiversity!E18=Data!E15,Biodiversity!E18=Data!E17,Biodiversity!E18=Data!E21),Biodiversity!F18,0), IF(OR(E19=Data!E11,E19=Data!E12,E19=Data!E13,Biodiversity!E19=Data!E14,Biodiversity!E19=Data!E15,Biodiversity!E19=Data!E17,Biodiversity!E19=Data!E21),Biodiversity!F19,0), IF(OR(E20=Data!E11,E20=Data!E12,E20=Data!E13,Biodiversity!E20=Data!E14,Biodiversity!E20=Data!E15,Biodiversity!E20=Data!E17,Biodiversity!E20=Data!E21),Biodiversity!F20,0), IF(OR(E21=Data!E11,E21=Data!E12,E21=Data!E13,Biodiversity!E21=Data!E14,Biodiversity!E21=Data!E15,Biodiversity!E21=Data!E17,Biodiversity!E21=Data!E21),Biodiversity!F21,0), IF(OR(E22=Data!E11,E22=Data!E12,E22=Data!E13,Biodiversity!E22=Data!E14,Biodiversity!E22=Data!E15,Biodiversity!E22=Data!E17,Biodiversity!E22=Data!E21),Biodiversity!F22,0), IF(OR(E23=Data!E11,E23=Data!E12,E23=Data!E13,Biodiversity!E23=Data!E14,Biodiversity!E23=Data!E15,Biodiversity!E23=Data!E17,Biodiversity!E23=Data!E21),Biodiversity!F23,0), IF(OR(E24=Data!E11,E24=Data!E12,E24=Data!E13,Biodiversity!E24=Data!E14,Biodiversity!E24=Data!E15,Biodiversity!E24=Data!E17,Biodiversity!E24=Data!E21),Biodiversity!F24,0), IF(OR(E25=Data!E11,E25=Data!E12,E25=Data!E13,Biodiversity!E25=Data!E14,Biodiversity!E25=Data!E15,Biodiversity!E25=Data!E17,Biodiversity!E25=Data!E21),Biodiversity!F25,0), IF(OR(E26=Data!E11,E26=Data!E12,E26=Data!E13,Biodiversity!E26=Data!E14,Biodiversity!E26=Data!E15,Biodiversity!E26=Data!E17,Biodiversity!E26=Data!E21),Biodiversity!F26,0), IF(OR(E27=Data!E11,E27=Data!E12,E27=Data!E13,Biodiversity!E27=Data!E14,Biodiversity!E27=Data!E15,Biodiversity!E27=Data!E17,Biodiversity!E27=Data!E21),Biodiversity!F27,0), IF(OR(E28=Data!E11,E28=Data!E12,E28=Data!E13,Biodiversity!E28=Data!E14,Biodiversity!E28=Data!E15,Biodiversity!E28=Data!E17,Biodiversity!E28=Data!E21),Biodiversity!F28,0), IF(OR(E29=Data!E11,E29=Data!E12,E29=Data!E13,Biodiversity!E29=Data!E14,Biodiversity!E29=Data!E15,Biodiversity!E29=Data!E17,Biodiversity!E29=Data!E21),Biodiversity!F29,0), IF(OR(E30=Data!E11,E30=Data!E12,E30=Data!E13,Biodiversity!E30=Data!E14,Biodiversity!E30=Data!E15,Biodiversity!E30=Data!E17,Biodiversity!E30=Data!E21),Biodiversity!F30,0), IF(OR(E31=Data!E11,E31=Data!E12,E31=Data!E13,Biodiversity!E31=Data!E14,Biodiversity!E31=Data!E15,Biodiversity!E31=Data!E17,Biodiversity!E31=Data!E21),Biodiversity!F31,0), IF(OR(E32=Data!E11,E32=Data!E12,E32=Data!E13,Biodiversity!E32=Data!E14,Biodiversity!E32=Data!E15,Biodiversity!E32=Data!E17,Biodiversity!E32=Data!E21),Biodiversity!F32,0), IF(OR(E33=Data!E11,E33=Data!E12,E33=Data!E13,Biodiversity!E33=Data!E14,Biodiversity!E33=Data!E15,Biodiversity!E33=Data!E17,Biodiversity!E33=Data!E21),Biodiversity!F33,0), IF(OR(E34=Data!E11,E34=Data!E12,E34=Data!E13,Biodiversity!E34=Data!E14,Biodiversity!E34=Data!E15,Biodiversity!E34=Data!E17,Biodiversity!E34=Data!E21),Biodiversity!F34,0), IF(OR(E35=Data!E11,E35=Data!E12,E35=Data!E13,Biodiversity!E35=Data!E14,Biodiversity!E35=Data!E15,Biodiversity!E35=Data!E17,Biodiversity!E35=Data!E21),Biodiversity!F35,0), IF(OR(E36=Data!E11,E36=Data!E12,E36=Data!E13,Biodiversity!E36=Data!E14,Biodiversity!E36=Data!E15,Biodiversity!E36=Data!E17,Biodiversity!E36=Data!E21),Biodiversity!F36,0), IF(OR(E37=Data!E11,E37=Data!E12,E37=Data!E13,Biodiversity!E37=Data!E14,Biodiversity!E37=Data!E15,Biodiversity!E37=Data!E17,Biodiversity!E37=Data!E21),Biodiversity!F37,0), IF(OR(E38=Data!E11,E38=Data!E12,E38=Data!E13,Biodiversity!E38=Data!E14,Biodiversity!E38=Data!E15,Biodiversity!E38=Data!E17,Biodiversity!E38=Data!E21),Biodiversity!F38,0), IF(OR(E39=Data!E11,E39=Data!E12,E39=Data!E13,Biodiversity!E39=Data!E14,Biodiversity!E39=Data!E15,Biodiversity!E39=Data!E17,Biodiversity!E39=Data!E21),Biodiversity!F39,0), IF(OR(E40=Data!E11,E40=Data!E12,E40=Data!E13,Biodiversity!E40=Data!E14,Biodiversity!E40=Data!E15,Biodiversity!E40=Data!E17,Biodiversity!E40=Data!E21),Biodiversity!F40,0))/SUM(F11:F40),"?")</f>
        <v>?</v>
      </c>
      <c r="K45" s="16">
        <f>(AH11*AI11+AH12*AI12+AH13*AI13+AH14*AI14+AH15*AI15+AH16*AI16+AH17*AI17+AH18*AI18+AH19*AI19+AH20*AI20+AH21*AI21+AH22*AI22+AH23*AI23+AH24*AI24+AH25*AI25+AH26*AI26+AH27*AI27+AH28*AI28+AH29*AI29+AH30*AI30+AH31*AI31+AH32*AI32+AH33*AI33+AH34*AI34+AH35*AI35+AH36*AI36+AH37*AI37+AH38*AI38+AH39*AI39+AH40*AI40)</f>
        <v>0</v>
      </c>
      <c r="L45" s="32">
        <f>(AK11*AL11+AK12*AL12+AK13*AL13+AK14*AL14+AK15*AL15+AK16*AL16+AK17*AL17+AK18*AL18+AK19*AL19+AK20*AL20+AK21*AL21+AK22*AL22+AK23*AL23+AK24*AL24+AK25*AL25+AK26*AL26+AK27*AL27+AK28*AL28+AK29*AL29+AK30*AL30+AK31*AL31+AK32*AL32+AK33*AL33+AK34*AL34+AK35*AL35+AK36*AL36+AK37*AL37+AK38*AL38+AK39*AL39+AK40*AL40)</f>
        <v>0</v>
      </c>
      <c r="M45" s="16">
        <f>IF(I45&gt;=1.5%,(0.85),IF(I45&lt;1.5%,(1-(I45/1.5%)*0.15),"?"))</f>
        <v>0.85</v>
      </c>
      <c r="N45" s="16">
        <f>IF(J45&gt;=1.5%,(0.85),IF(J45&lt;1.5%,(1-(J45/1.5%)*0.15),"?"))</f>
        <v>0.85</v>
      </c>
      <c r="O45" s="7"/>
      <c r="P45" s="7"/>
      <c r="Q45" s="7"/>
      <c r="R45" s="16">
        <f>IFERROR((M45*D42+I45)*(IF(U11&lt;&gt;0,R11*U11,0)+IF(U12&lt;&gt;0,R12*U12,0)+IF(U13&lt;&gt;0,R13*U13,0)+IF(U14&lt;&gt;0,R14*U14,0)+IF(U15&lt;&gt;0,R15*U15,0)+IF(U16&lt;&gt;0,R16*U16,0)+IF(U17&lt;&gt;0,R17*U17,0)+IF(U18&lt;&gt;0,R18*U18,0)+IF(U19&lt;&gt;0,R19*U19,0)+IF(U20&lt;&gt;0,R20*U20,0)+IF(U21&lt;&gt;0,R21*U21,0)+IF(U22&lt;&gt;0,R22*U22,0)+IF(U23&lt;&gt;0,R23*U23,0)+IF(U24&lt;&gt;0,R24*U24,0)+IF(U25&lt;&gt;0,R25*U25,0)+IF(U26&lt;&gt;0,R26*U26,0)+IF(U27&lt;&gt;0,R27*U27,0)+IF(U28&lt;&gt;0,R28*U28,0)+IF(U29&lt;&gt;0,R29*U29,0)+IF(U30&lt;&gt;0,R30*U30,0)+IF(U31&lt;&gt;0,R31*U31,0)+IF(U32&lt;&gt;0,R32*U32,0)+IF(U33&lt;&gt;0,R33*U33,0)+IF(U34&lt;&gt;0,R34*U34,0)+IF(U35&lt;&gt;0,R35*U35,0)+IF(U36&lt;&gt;0,R36*U36,0)+IF(U37&lt;&gt;0,R37*U37,0)+IF(U38&lt;&gt;0,R38*U38,0)+IF(U39&lt;&gt;0,R39*U39,0)+IF(U40&lt;&gt;0,R40*U40,0)),0)</f>
        <v>0</v>
      </c>
      <c r="S45" s="26">
        <f>IFERROR((N45*F42+J45)*(IF(V11&lt;&gt;0,S11*V11,0)+IF(V12&lt;&gt;0,S12*V12,0)+IF(V13&lt;&gt;0,S13*V13,0)+IF(V14&lt;&gt;0,S14*V14,0)+IF(V15&lt;&gt;0,S15*V15,0)+IF(V16&lt;&gt;0,S16*V16,0)+IF(V17&lt;&gt;0,S17*V17,0)+IF(V18&lt;&gt;0,S18*V18,0)+IF(V19&lt;&gt;0,S19*V19,0)+IF(V20&lt;&gt;0,S20*V20,0)+IF(V21&lt;&gt;0,S21*V21,0)+IF(V22&lt;&gt;0,S22*V22,0)+IF(V23&lt;&gt;0,S23*V23,0)+IF(V24&lt;&gt;0,S24*V24,0)+IF(V25&lt;&gt;0,S25*V25,0)+IF(V26&lt;&gt;0,S26*V26,0)+IF(V27&lt;&gt;0,S27*V27,0)+IF(V28&lt;&gt;0,S28*V28,0)+IF(V29&lt;&gt;0,S29*V29,0)+IF(V30&lt;&gt;0,S30*V30,0)+IF(V31&lt;&gt;0,S31*V31,0)+IF(V32&lt;&gt;0,S32*V32,0)+IF(V33&lt;&gt;0,S33*V33,0)+IF(V34&lt;&gt;0,S34*V34,0)+IF(V35&lt;&gt;0,S35*V35,0)+IF(V36&lt;&gt;0,S36*V36,0)+IF(V37&lt;&gt;0,S37*V37,0)+IF(V38&lt;&gt;0,S38*V38,0)+IF(V39&lt;&gt;0,S39*V39,0)+IF(V40&lt;&gt;0,S40*V40,0)),0)</f>
        <v>0</v>
      </c>
      <c r="T45" s="21"/>
      <c r="U45" s="21"/>
      <c r="Y45" s="3" t="s">
        <v>410</v>
      </c>
      <c r="AE45" s="15">
        <f>R45</f>
        <v>0</v>
      </c>
      <c r="AF45" s="15">
        <f>S45</f>
        <v>0</v>
      </c>
    </row>
    <row r="46" spans="1:38" x14ac:dyDescent="0.25">
      <c r="A46" s="7"/>
      <c r="B46" s="7"/>
      <c r="C46" s="7"/>
      <c r="D46" s="7"/>
      <c r="E46" s="7"/>
      <c r="F46" s="7"/>
      <c r="G46" s="7"/>
      <c r="H46" s="7"/>
      <c r="I46" s="7"/>
      <c r="J46" s="7"/>
      <c r="K46" s="16"/>
      <c r="L46" s="16"/>
      <c r="M46" s="7"/>
      <c r="N46" s="7"/>
      <c r="O46" s="7"/>
      <c r="P46" s="7"/>
      <c r="Q46" s="7"/>
      <c r="R46" s="7"/>
      <c r="S46" s="7"/>
      <c r="Y46" s="34" t="s">
        <v>45</v>
      </c>
      <c r="Z46" s="34"/>
      <c r="AA46" s="34"/>
      <c r="AB46" s="34"/>
      <c r="AC46" s="34"/>
      <c r="AD46" s="34"/>
      <c r="AE46" s="35">
        <f>IF(U11&lt;&gt;0,K11*U11,0)+IF(U12&lt;&gt;0,K12*U12,0)+IF(U13&lt;&gt;0,K13*U13,0)+IF(U14&lt;&gt;0,K14*U14,0)+IF(U15&lt;&gt;0,K15*U15,0)+IF(U16&lt;&gt;0,K16*U16,0)+IF(U17&lt;&gt;0,K17*U17,0)+IF(U18&lt;&gt;0,K18*U18,0)+IF(U19&lt;&gt;0,K19*U19,0)+IF(U20&lt;&gt;0,K20*U20,0)+IF(U21&lt;&gt;0,K21*U21,0)+IF(U22&lt;&gt;0,K22*U22,0)+IF(U23&lt;&gt;0,K23*U23,0)+IF(U24&lt;&gt;0,K24*U24,0)+IF(U25&lt;&gt;0,K25*U25,0)+IF(U26&lt;&gt;0,K26*U26,0)+IF(U27&lt;&gt;0,K27*U27,0)+IF(U28&lt;&gt;0,K28*U28,0)+IF(U29&lt;&gt;0,K29*U29,0)+IF(U30&lt;&gt;0,K30*U30,0)+IF(U31&lt;&gt;0,K31*U31,0)+IF(U32&lt;&gt;0,K32*U32,0)+IF(U33&lt;&gt;0,K33*U33,0)+IF(U34&lt;&gt;0,K34*U34,0)+IF(U35&lt;&gt;0,K35*U35,0)+IF(U36&lt;&gt;0,K36*U36,0)+IF(U37&lt;&gt;0,K37*U37,0)+IF(U38&lt;&gt;0,K38*U38,0)+IF(U39&lt;&gt;0,K39*U39,0)+IF(U40&lt;&gt;0,K40*U40,0)</f>
        <v>0</v>
      </c>
      <c r="AF46" s="35">
        <f>IF(V11&lt;&gt;0,L11*V11,0)+IF(V12&lt;&gt;0,L12*V12,0)+IF(V13&lt;&gt;0,L13*V13,0)+IF(V14&lt;&gt;0,L14*V14,0)+IF(V15&lt;&gt;0,L15*V15,0)+IF(V16&lt;&gt;0,L16*V16,0)+IF(V17&lt;&gt;0,L17*V17,0)+IF(V18&lt;&gt;0,L18*V18,0)+IF(V19&lt;&gt;0,L19*V19,0)+IF(V20&lt;&gt;0,L20*V20,0)+IF(V21&lt;&gt;0,L21*V21,0)+IF(V22&lt;&gt;0,L22*V22,0)+IF(V23&lt;&gt;0,L23*V23,0)+IF(V24&lt;&gt;0,L24*V24,0)+IF(V25&lt;&gt;0,L25*V25,0)+IF(V26&lt;&gt;0,L26*V26,0)+IF(V27&lt;&gt;0,L27*V27,0)+IF(V28&lt;&gt;0,L28*V28,0)+IF(V29&lt;&gt;0,L29*V29,0)+IF(V30&lt;&gt;0,L30*V30,0)+IF(V31&lt;&gt;0,L31*V31,0)+IF(V32&lt;&gt;0,L32*V32,0)+IF(V33&lt;&gt;0,L33*V33,0)+IF(V34&lt;&gt;0,L34*V34,0)+IF(V35&lt;&gt;0,L35*V35,0)+IF(V36&lt;&gt;0,L36*V36,0)+IF(V37&lt;&gt;0,L37*V37,0)+IF(V38&lt;&gt;0,L38*V38,0)+IF(V39&lt;&gt;0,L39*V39,0)+IF(V40&lt;&gt;0,L40*V40,0)</f>
        <v>0</v>
      </c>
    </row>
    <row r="47" spans="1:38" x14ac:dyDescent="0.25">
      <c r="Y47" s="36" t="s">
        <v>46</v>
      </c>
      <c r="Z47" s="36"/>
      <c r="AA47" s="36"/>
      <c r="AB47" s="36"/>
      <c r="AC47" s="36"/>
      <c r="AD47" s="36"/>
      <c r="AE47" s="35">
        <f>IF(AA11="N",M11*U11,U11)+ IF(AA12="N",M12*U12,U12)+ IF(AA13="N",M13*U13,U13)+ IF(AA14="N",M14*U14,U14)+ IF(AA15="N",M15*U15,U15)+ IF(AA16="N",M16*U16,U16)+ IF(AA17="N",M17*U17,U17)+ IF(AA18="N",M18*U18,U18)+ IF(AA19="N",M19*U19,U19)+ IF(AA20="N",M20*U20,U20)+ IF(AA21="N",M21*U21,U21)+ IF(AA22="N",M22*U22,U22)+ IF(AA23="N",M23*U23,U23)+ IF(AA24="N",M24*U24,U24)+ IF(AA25="N",M25*U25,U25)+ IF(AA26="N",M26*U26,U26)+ IF(AA27="N",M27*U27,U27)+ IF(AA28="N",M28*U28,U28)+ IF(AA29="N",M29*U29,U29)+ IF(AA30="N",M30*U30,U30)+ IF(AA31="N",M31*U31,U31)+ IF(AA32="N",M32*U32,U32)+ IF(AA33="N",M33*U33,U33)+ IF(AA34="N",M34*U34,U34)+ IF(AA35="N",M35*U35,U35)+ IF(AA36="N",M36*U36,U36)+ IF(AA37="N",M37*U37,U37)+ IF(AA38="N",M38*U38,U38)+ IF(AA39="N",M39*U39,U39)+ IF(AA40="N",M40*U40,U40)</f>
        <v>0</v>
      </c>
      <c r="AF47" s="35">
        <f>IF(AC11="N",N11*V11,V11)+ IF(AC12="N",N12*V12,V12)+ IF(AC13="N",N13*V13,V13)+ IF(AC14="N",N14*V14,V14)+ IF(AC15="N",N15*V15,V15)+ IF(AC16="N",N16*V16,V16)+ IF(AC17="N",N17*V17,V17)+ IF(AC18="N",N18*V18,V18)+ IF(AC19="N",N19*V19,V19)+ IF(AC20="N",N20*V20,V20)+ IF(AC21="N",N21*V21,V21)+ IF(AC22="N",N22*V22,V22)+ IF(AC23="N",N23*V23,V23)+ IF(AC24="N",N24*V24,V24)+ IF(AC25="N",N25*V25,V25)+ IF(AC26="N",N26*V26,V26)+ IF(AC27="N",N27*V27,V27)+ IF(AC28="N",N28*V28,V28)+ IF(AC29="N",N29*V29,V29)+ IF(AC30="N",N30*V30,V30)+ IF(AC31="N",N31*V31,V31)+ IF(AC32="N",N32*V32,V32)+ IF(AC33="N",N33*V33,V33)+ IF(AC34="N",N34*V34,V34)+ IF(AC35="N",N35*V35,V35)+ IF(AC36="N",N36*V36,V36)+ IF(AC37="N",N37*V37,V37)+ IF(AC38="N",N38*V38,V38)+ IF(AC39="N",N39*V39,V39)+ IF(AC40="N",N40*V40,V40)</f>
        <v>0</v>
      </c>
    </row>
    <row r="48" spans="1:38" x14ac:dyDescent="0.25">
      <c r="G48" s="458" t="s">
        <v>408</v>
      </c>
      <c r="H48" s="458"/>
      <c r="Y48" s="36" t="s">
        <v>72</v>
      </c>
      <c r="Z48" s="36"/>
      <c r="AA48" s="36"/>
      <c r="AB48" s="36"/>
      <c r="AC48" s="36"/>
      <c r="AD48" s="36"/>
      <c r="AE48" s="35">
        <f>K45</f>
        <v>0</v>
      </c>
      <c r="AF48" s="35">
        <f>L45</f>
        <v>0</v>
      </c>
    </row>
    <row r="49" spans="1:36" ht="16.5" customHeight="1" x14ac:dyDescent="0.25">
      <c r="G49" s="459" t="s">
        <v>391</v>
      </c>
      <c r="H49" s="459"/>
      <c r="R49" s="460" t="s">
        <v>331</v>
      </c>
      <c r="S49" s="460"/>
      <c r="Y49" s="36" t="s">
        <v>503</v>
      </c>
      <c r="Z49" s="36"/>
      <c r="AA49" s="36"/>
      <c r="AB49" s="36"/>
      <c r="AC49" s="36"/>
      <c r="AD49" s="36"/>
      <c r="AE49" s="35">
        <f>IF(SUM('Biodiversity Assessment'!M18:M47)=0,0,M45)</f>
        <v>0</v>
      </c>
      <c r="AF49" s="35">
        <f>IF(SUM('Biodiversity Assessment'!U18:U47)=0,0,N45)</f>
        <v>0</v>
      </c>
    </row>
    <row r="50" spans="1:36" ht="13" x14ac:dyDescent="0.3">
      <c r="F50" s="40"/>
      <c r="G50" s="39" t="s">
        <v>26</v>
      </c>
      <c r="H50" s="39" t="s">
        <v>12</v>
      </c>
      <c r="R50" s="460"/>
      <c r="S50" s="460"/>
    </row>
    <row r="51" spans="1:36" x14ac:dyDescent="0.25">
      <c r="G51" s="72">
        <f>IFERROR('Biodiversity Assessment'!D81,0)</f>
        <v>0</v>
      </c>
      <c r="H51" s="72">
        <f>IFERROR('Biodiversity Assessment'!M81,0)</f>
        <v>0</v>
      </c>
      <c r="R51" s="47" t="s">
        <v>27</v>
      </c>
      <c r="S51" s="47" t="s">
        <v>49</v>
      </c>
    </row>
    <row r="52" spans="1:36" ht="13" x14ac:dyDescent="0.3">
      <c r="C52" s="44" t="s">
        <v>293</v>
      </c>
      <c r="D52" s="44" t="s">
        <v>294</v>
      </c>
      <c r="R52" s="16">
        <f>IFERROR((M45*D42+I45)*(IF(U11&lt;&gt;0,R11*U11*X11,0)+IF(U12&lt;&gt;0,R12*U12*X12,0)+IF(U13&lt;&gt;0,R13*U13*X13,0)+IF(U14&lt;&gt;0,R14*U14*X14,0)+IF(U15&lt;&gt;0,R15*U15*X15,0)+IF(U16&lt;&gt;0,R16*U16*X16,0)+IF(U17&lt;&gt;0,R17*U17*X17,0)+IF(U18&lt;&gt;0,R18*U18*X18,0)+IF(U19&lt;&gt;0,R19*U19*X19,0)+IF(U20&lt;&gt;0,R20*U20*X20,0)+IF(U21&lt;&gt;0,R21*U21*X21,0)+IF(U22&lt;&gt;0,R22*U22*X22,0)+IF(U23&lt;&gt;0,R23*U23*X23,0)+IF(U24&lt;&gt;0,R24*U24*X24,0)+IF(U25&lt;&gt;0,R25*U25*X25,0)+IF(U26&lt;&gt;0,R26*U26*X26,0)+IF(U27&lt;&gt;0,R27*U27*X27,0)+IF(U28&lt;&gt;0,R28*U28*X28,0)+IF(U29&lt;&gt;0,R29*U29*X29,0)+IF(U30&lt;&gt;0,R30*U30*X30,0)+IF(U31&lt;&gt;0,R31*U31*X31,0)+IF(U32&lt;&gt;0,R32*U32*X32,0)+IF(U33&lt;&gt;0,R33*U33*X33,0)+IF(U34&lt;&gt;0,R34*U34*X34,0)+IF(U35&lt;&gt;0,R35*U35*X35,0)+IF(U36&lt;&gt;0,R36*U36*X36,0)+IF(U37&lt;&gt;0,R37*U37*X37,0)+IF(U38&lt;&gt;0,R38*U38*X38,0)+IF(U39&lt;&gt;0,R39*U39*X39,0)+IF(U40&lt;&gt;0,R40*U40*X40,0)),0)</f>
        <v>0</v>
      </c>
      <c r="S52" s="26">
        <f>IFERROR((N45*F42+J45)*(IF(V11&lt;&gt;0,S11*V11*Y11,0)+IF(V12&lt;&gt;0,S12*V12*Y12,0)+IF(V13&lt;&gt;0,S13*V13*Y13,0)+IF(V14&lt;&gt;0,S14*V14*Y14,0)+IF(V15&lt;&gt;0,S15*V15*Y15,0)+IF(V16&lt;&gt;0,S16*V16*Y16,0)+IF(V17&lt;&gt;0,S17*V17*Y17,0)+IF(V18&lt;&gt;0,S18*V18*Y18,0)+IF(V19&lt;&gt;0,S19*V19*Y19,0)+IF(V20&lt;&gt;0,S20*V20*Y20,0)+IF(V21&lt;&gt;0,S21*V21*Y21,0)+IF(V22&lt;&gt;0,S22*V22*Y22,0)+IF(V23&lt;&gt;0,S23*V23*Y23,0)+IF(V24&lt;&gt;0,S24*V24*Y24,0)+IF(V25&lt;&gt;0,S25*V25*Y25,0)+IF(V26&lt;&gt;0,S26*V26*Y26,0)+IF(V27&lt;&gt;0,S27*V27*Y27,0)+IF(V28&lt;&gt;0,S28*V28*Y28,0)+IF(V29&lt;&gt;0,S29*V29*Y29,0)+IF(V30&lt;&gt;0,S30*V30*Y30,0)+IF(V31&lt;&gt;0,S31*V31*Y31,0)+IF(V32&lt;&gt;0,S32*V32*Y32,0)+IF(V33&lt;&gt;0,S33*V33*Y33,0)+IF(V34&lt;&gt;0,S34*V34*Y34,0)+IF(V35&lt;&gt;0,S35*V35*Y35,0)+IF(V36&lt;&gt;0,S36*V36*Y36,0)+IF(V37&lt;&gt;0,S37*V37*Y37,0)+IF(V38&lt;&gt;0,S38*V38*Y38,0)+IF(V39&lt;&gt;0,S39*V39*Y39,0)+IF(V40&lt;&gt;0,S40*V40*Y40,0)),0)</f>
        <v>0</v>
      </c>
    </row>
    <row r="53" spans="1:36" ht="24.75" customHeight="1" x14ac:dyDescent="0.25">
      <c r="A53" s="3">
        <v>1</v>
      </c>
      <c r="B53" s="6" t="s">
        <v>309</v>
      </c>
      <c r="C53" s="43" t="str">
        <f>IF(AND('Biodiversity Assessment'!E118=Data!D25,'Biodiversity Assessment'!M118=Data!H27),4,IF(OR('Biodiversity Assessment'!E118=Data!D26,AND('Biodiversity Assessment'!E118=Data!D25,'Biodiversity Assessment'!M118=Data!H26)),2,IF(AND('Biodiversity Assessment'!E118=Data!D25,'Biodiversity Assessment'!M118=Data!H25),0,"?")))</f>
        <v>?</v>
      </c>
      <c r="D53" s="43">
        <f>'Biodiversity Assessment'!O118</f>
        <v>0</v>
      </c>
      <c r="R53" s="15"/>
      <c r="S53" s="15"/>
    </row>
    <row r="54" spans="1:36" x14ac:dyDescent="0.25">
      <c r="A54" s="3">
        <v>2</v>
      </c>
      <c r="B54" s="3" t="s">
        <v>310</v>
      </c>
      <c r="C54" s="43" t="str">
        <f>IF(AND('Biodiversity Assessment'!E119=Data!D25,'Biodiversity Assessment'!M119=Data!H27),4,IF(OR('Biodiversity Assessment'!E119=Data!D26,AND('Biodiversity Assessment'!E119=Data!D25,'Biodiversity Assessment'!M119=Data!H26)),2,IF(AND('Biodiversity Assessment'!E119=Data!D25,'Biodiversity Assessment'!M119=Data!H25),0,"?")))</f>
        <v>?</v>
      </c>
      <c r="D54" s="43">
        <f>'Biodiversity Assessment'!O119</f>
        <v>0</v>
      </c>
      <c r="G54" s="56"/>
      <c r="H54" s="56"/>
      <c r="AG54" s="5"/>
      <c r="AH54" s="5" t="s">
        <v>12</v>
      </c>
      <c r="AI54" s="5" t="s">
        <v>26</v>
      </c>
    </row>
    <row r="55" spans="1:36" ht="25" x14ac:dyDescent="0.25">
      <c r="A55" s="3">
        <v>3</v>
      </c>
      <c r="B55" s="6" t="s">
        <v>284</v>
      </c>
      <c r="C55" s="43" t="str">
        <f>IF('Biodiversity Assessment'!M120=Data!$E$25,4,IF('Biodiversity Assessment'!M120=Data!$E$26,3,IF('Biodiversity Assessment'!M120=Data!$E$27,2,IF('Biodiversity Assessment'!M120=Data!$E$28,1,IF('Biodiversity Assessment'!M120=Data!$E$29,0,"?")))))</f>
        <v>?</v>
      </c>
      <c r="D55" s="43">
        <f>'Biodiversity Assessment'!O120</f>
        <v>0</v>
      </c>
      <c r="G55" s="57"/>
      <c r="H55" s="57"/>
      <c r="AD55" s="5"/>
      <c r="AH55" s="71">
        <f>H51</f>
        <v>0</v>
      </c>
      <c r="AI55" s="71">
        <f>G51</f>
        <v>0</v>
      </c>
    </row>
    <row r="56" spans="1:36" ht="25" x14ac:dyDescent="0.25">
      <c r="A56" s="3">
        <v>4</v>
      </c>
      <c r="B56" s="6" t="s">
        <v>297</v>
      </c>
      <c r="C56" s="43" t="str">
        <f>IF('Biodiversity Assessment'!M121=Data!F25,4,IF('Biodiversity Assessment'!M121=Data!F26,3,IF('Biodiversity Assessment'!M121=Data!F27,2,IF('Biodiversity Assessment'!M121=Data!F28,1,IF('Biodiversity Assessment'!M121=Data!F29,0,"?")))))</f>
        <v>?</v>
      </c>
      <c r="D56" s="43">
        <f>'Biodiversity Assessment'!O121</f>
        <v>0</v>
      </c>
      <c r="AD56" s="5"/>
      <c r="AF56" s="71"/>
      <c r="AH56" s="71">
        <f>AI55-AH55</f>
        <v>0</v>
      </c>
      <c r="AI56" s="71">
        <v>0</v>
      </c>
    </row>
    <row r="57" spans="1:36" ht="25" x14ac:dyDescent="0.25">
      <c r="A57" s="3">
        <v>5</v>
      </c>
      <c r="B57" s="14" t="s">
        <v>302</v>
      </c>
      <c r="C57" s="43" t="str">
        <f>IF('Biodiversity Assessment'!M122=Data!$E$25,0,IF('Biodiversity Assessment'!M122=Data!$E$26,1,IF('Biodiversity Assessment'!M122=Data!$E$27,2,IF('Biodiversity Assessment'!M122=Data!$E$28,3,IF('Biodiversity Assessment'!M122=Data!$E$29,4,"?")))))</f>
        <v>?</v>
      </c>
      <c r="D57" s="43">
        <f>'Biodiversity Assessment'!O122</f>
        <v>0</v>
      </c>
      <c r="G57" s="458" t="s">
        <v>232</v>
      </c>
      <c r="H57" s="458"/>
    </row>
    <row r="58" spans="1:36" ht="13" x14ac:dyDescent="0.3">
      <c r="B58" s="44" t="s">
        <v>295</v>
      </c>
      <c r="C58" s="43" t="str">
        <f>IF(AND(C53="?",C54="?",C55="?",C56="?",C57="?"),"?",IF(C53&lt;&gt;"?",C53*D53,0)+IF(C54&lt;&gt;"?",C54*D54,0)+IF(C55&lt;&gt;"?",C55*D55,0)+IF(C56&lt;&gt;"?",C56*D56,0)+IF(C57&lt;&gt;"?",C57*D57,0))</f>
        <v>?</v>
      </c>
      <c r="D58" s="43"/>
      <c r="G58" s="459" t="s">
        <v>391</v>
      </c>
      <c r="H58" s="459"/>
    </row>
    <row r="59" spans="1:36" ht="13" x14ac:dyDescent="0.3">
      <c r="D59" s="43"/>
      <c r="F59" s="40">
        <f>0.00000437</f>
        <v>4.3699999999999997E-6</v>
      </c>
      <c r="G59" s="60" t="s">
        <v>26</v>
      </c>
      <c r="H59" s="60" t="s">
        <v>12</v>
      </c>
      <c r="AH59" s="75">
        <f>AH55</f>
        <v>0</v>
      </c>
      <c r="AI59" s="75">
        <f>AI55</f>
        <v>0</v>
      </c>
    </row>
    <row r="60" spans="1:36" x14ac:dyDescent="0.25">
      <c r="A60" s="3">
        <v>6</v>
      </c>
      <c r="B60" s="3" t="s">
        <v>285</v>
      </c>
      <c r="C60" s="43" t="str">
        <f>IF('Biodiversity Assessment'!M127=Data!G25,0,IF('Biodiversity Assessment'!M127=Data!G26,1,IF('Biodiversity Assessment'!M127=Data!G27,2,IF('Biodiversity Assessment'!M127=Data!G28,3,IF('Biodiversity Assessment'!M127=Data!G29,4,IF('Biodiversity Assessment'!M127=Data!G30,4,"?"))))))</f>
        <v>?</v>
      </c>
      <c r="D60" s="43">
        <f>'Biodiversity Assessment'!O127</f>
        <v>0</v>
      </c>
      <c r="G60" s="16" t="e">
        <f>F59*#REF!*100</f>
        <v>#REF!</v>
      </c>
      <c r="H60" s="16" t="e">
        <f>F59*#REF!*100</f>
        <v>#REF!</v>
      </c>
      <c r="AH60" s="75">
        <f>AH56</f>
        <v>0</v>
      </c>
      <c r="AI60" s="75"/>
    </row>
    <row r="61" spans="1:36" ht="37.5" x14ac:dyDescent="0.25">
      <c r="A61" s="3">
        <v>7</v>
      </c>
      <c r="B61" s="6" t="s">
        <v>286</v>
      </c>
      <c r="C61" s="43" t="str">
        <f>IF('Biodiversity Assessment'!M128=Data!$E$25,4,IF('Biodiversity Assessment'!M128=Data!$E$26,3,IF('Biodiversity Assessment'!M128=Data!$E$27,2,IF('Biodiversity Assessment'!M128=Data!$E$28,1,IF('Biodiversity Assessment'!M128=Data!$E$29,0,"?")))))</f>
        <v>?</v>
      </c>
      <c r="D61" s="43">
        <f>'Biodiversity Assessment'!O128</f>
        <v>0</v>
      </c>
      <c r="G61" s="5" t="s">
        <v>283</v>
      </c>
      <c r="H61" s="3" t="b">
        <f>IF(I61="Not Applicable",0,IF(I61="Very Low Pressure",1, IF(I61="Low Pressure", 2, IF(I61="Medium Pressure", 3, IF(I61="High Pressure",4)))))</f>
        <v>0</v>
      </c>
      <c r="I61" s="3">
        <f>'Biodiversity Assessment'!O123</f>
        <v>0</v>
      </c>
    </row>
    <row r="62" spans="1:36" ht="25" x14ac:dyDescent="0.25">
      <c r="A62" s="3">
        <v>8</v>
      </c>
      <c r="B62" s="14" t="s">
        <v>311</v>
      </c>
      <c r="C62" s="43" t="str">
        <f>IF('Biodiversity Assessment'!M129=Data!$E$25,4,IF('Biodiversity Assessment'!M129=Data!$E$26,3,IF('Biodiversity Assessment'!M129=Data!$E$27,2,IF('Biodiversity Assessment'!M129=Data!$E$28,1,IF('Biodiversity Assessment'!M129=Data!$E$29,0,"?")))))</f>
        <v>?</v>
      </c>
      <c r="D62" s="43">
        <f>'Biodiversity Assessment'!O129</f>
        <v>0</v>
      </c>
      <c r="G62" s="5" t="s">
        <v>231</v>
      </c>
      <c r="H62" s="3" t="b">
        <f>IF(I62="Not Applicable",0,IF(I62="Very Low Pressure",1, IF(I62="Low Pressure", 2, IF(I62="Medium Pressure", 3, IF(I62="High Pressure",4)))))</f>
        <v>0</v>
      </c>
      <c r="I62" s="3">
        <f>'Biodiversity Assessment'!O130</f>
        <v>0</v>
      </c>
      <c r="AH62" s="3">
        <f>IF('Biodiversity Assessment'!Q12="",'Biodiversity Assessment'!N12,'Biodiversity Assessment'!Q12)</f>
        <v>0</v>
      </c>
      <c r="AI62" s="74">
        <f>ROUND(AH56*AH62,-3)</f>
        <v>0</v>
      </c>
      <c r="AJ62" s="73" t="s">
        <v>518</v>
      </c>
    </row>
    <row r="63" spans="1:36" ht="13" x14ac:dyDescent="0.3">
      <c r="B63" s="44" t="s">
        <v>295</v>
      </c>
      <c r="C63" s="43" t="str">
        <f>IF(AND(C60="?",C61="?",C62="?"),"?",IF(C60&lt;&gt;"?",C60*D60,0)+IF(C61&lt;&gt;"?",C61*D61,0)+IF(C62&lt;&gt;"?",C62*D62,0))</f>
        <v>?</v>
      </c>
      <c r="D63" s="43"/>
      <c r="G63" s="5" t="s">
        <v>229</v>
      </c>
      <c r="H63" s="3" t="b">
        <f>IF(I63="Not Applicable",0,IF(I63="Very Low Pressure",1, IF(I63="Low Pressure", 2, IF(I63="Medium Pressure", 3, IF(I63="High Pressure",4)))))</f>
        <v>0</v>
      </c>
      <c r="I63" s="3">
        <f>'Biodiversity Assessment'!O143</f>
        <v>0</v>
      </c>
    </row>
    <row r="64" spans="1:36" x14ac:dyDescent="0.25">
      <c r="D64" s="43"/>
      <c r="G64" s="3" t="s">
        <v>314</v>
      </c>
      <c r="H64" s="3" t="b">
        <f>IF(I64="Not Applicable",0,IF(I64="Very Low Pressure",1, IF(I64="Low Pressure", 2, IF(I64="Medium Pressure", 3, IF(I64="High Pressure",4)))))</f>
        <v>0</v>
      </c>
      <c r="I64" s="3">
        <f>'Biodiversity Assessment'!O146</f>
        <v>0</v>
      </c>
    </row>
    <row r="65" spans="1:31" ht="50" x14ac:dyDescent="0.25">
      <c r="A65" s="3">
        <v>9</v>
      </c>
      <c r="B65" s="6" t="s">
        <v>287</v>
      </c>
      <c r="C65" s="43" t="str">
        <f>IF('Biodiversity Assessment'!M134=Data!$E$25,4,IF('Biodiversity Assessment'!M134=Data!$E$26,3,IF('Biodiversity Assessment'!M134=Data!$E$27,2,IF('Biodiversity Assessment'!M134=Data!$E$28,1,IF('Biodiversity Assessment'!M134=Data!$E$29,0,"?")))))</f>
        <v>?</v>
      </c>
      <c r="D65" s="43">
        <f>'Biodiversity Assessment'!O134</f>
        <v>0</v>
      </c>
    </row>
    <row r="66" spans="1:31" ht="50" x14ac:dyDescent="0.25">
      <c r="A66" s="3">
        <v>10</v>
      </c>
      <c r="B66" s="6" t="s">
        <v>288</v>
      </c>
      <c r="C66" s="43" t="str">
        <f>IF('Biodiversity Assessment'!M135=Data!$E$25,4,IF('Biodiversity Assessment'!M135=Data!$E$26,3,IF('Biodiversity Assessment'!M135=Data!$E$27,2,IF('Biodiversity Assessment'!M135=Data!$E$28,1,IF('Biodiversity Assessment'!M135=Data!$E$29,0,"?")))))</f>
        <v>?</v>
      </c>
      <c r="D66" s="43">
        <f>'Biodiversity Assessment'!O135</f>
        <v>0</v>
      </c>
    </row>
    <row r="67" spans="1:31" ht="37.5" x14ac:dyDescent="0.25">
      <c r="A67" s="3">
        <v>11</v>
      </c>
      <c r="B67" s="6" t="s">
        <v>289</v>
      </c>
      <c r="C67" s="43" t="str">
        <f>IF('Biodiversity Assessment'!M136=Data!$E$25,4,IF('Biodiversity Assessment'!M136=Data!$E$26,3,IF('Biodiversity Assessment'!M136=Data!$E$27,2,IF('Biodiversity Assessment'!M136=Data!$E$28,1,IF('Biodiversity Assessment'!M136=Data!$E$29,0,"?")))))</f>
        <v>?</v>
      </c>
      <c r="D67" s="43">
        <f>'Biodiversity Assessment'!O136</f>
        <v>0</v>
      </c>
    </row>
    <row r="68" spans="1:31" ht="37.5" x14ac:dyDescent="0.25">
      <c r="A68" s="3">
        <v>12</v>
      </c>
      <c r="B68" s="6" t="s">
        <v>290</v>
      </c>
      <c r="C68" s="43" t="str">
        <f>IF('Biodiversity Assessment'!M137=Data!$E$25,4,IF('Biodiversity Assessment'!M137=Data!$E$26,3,IF('Biodiversity Assessment'!M137=Data!$E$27,2,IF('Biodiversity Assessment'!M137=Data!$E$28,1,IF('Biodiversity Assessment'!M137=Data!$E$29,0,"?")))))</f>
        <v>?</v>
      </c>
      <c r="D68" s="43">
        <f>'Biodiversity Assessment'!O137</f>
        <v>0</v>
      </c>
    </row>
    <row r="69" spans="1:31" ht="25" x14ac:dyDescent="0.25">
      <c r="A69" s="3">
        <v>13</v>
      </c>
      <c r="B69" s="6" t="s">
        <v>291</v>
      </c>
      <c r="C69" s="43" t="str">
        <f>IF('Biodiversity Assessment'!M138=Data!$E$25,4,IF('Biodiversity Assessment'!M138=Data!$E$26,3,IF('Biodiversity Assessment'!M138=Data!$E$27,2,IF('Biodiversity Assessment'!M138=Data!$E$28,1,IF('Biodiversity Assessment'!M138=Data!$E$29,0,"?")))))</f>
        <v>?</v>
      </c>
      <c r="D69" s="43">
        <f>'Biodiversity Assessment'!O138</f>
        <v>0</v>
      </c>
    </row>
    <row r="70" spans="1:31" ht="62.5" x14ac:dyDescent="0.25">
      <c r="A70" s="3">
        <v>14</v>
      </c>
      <c r="B70" s="6" t="s">
        <v>292</v>
      </c>
      <c r="C70" s="43" t="str">
        <f>IF('Biodiversity Assessment'!M139=Data!$E$25,4,IF('Biodiversity Assessment'!M139=Data!$E$26,3,IF('Biodiversity Assessment'!M139=Data!$E$27,2,IF('Biodiversity Assessment'!M139=Data!$E$28,1,IF('Biodiversity Assessment'!M139=Data!$E$29,0,"?")))))</f>
        <v>?</v>
      </c>
      <c r="D70" s="43">
        <f>'Biodiversity Assessment'!O139</f>
        <v>0</v>
      </c>
    </row>
    <row r="71" spans="1:31" ht="13" x14ac:dyDescent="0.3">
      <c r="B71" s="44" t="s">
        <v>295</v>
      </c>
      <c r="C71" s="43" t="str">
        <f>IF(AND(C65="?",C66="?",C67="?",C68="?",C69="?",C70="?"),"?",IF(C65&lt;&gt;"?",C65*D65,0)+IF(C66&lt;&gt;"?",C66*D66,0)+IF(C67&lt;&gt;"?",C67*D67,0)+IF(C68&lt;&gt;"?",C68*D68,0)+IF(C69&lt;&gt;"?",C69*D69,0)+IF(C70&lt;&gt;"?",C70*D70,0))</f>
        <v>?</v>
      </c>
    </row>
    <row r="73" spans="1:31" ht="13" x14ac:dyDescent="0.3">
      <c r="B73" s="45" t="s">
        <v>296</v>
      </c>
    </row>
    <row r="79" spans="1:31" x14ac:dyDescent="0.25">
      <c r="H79" s="69" t="s">
        <v>474</v>
      </c>
      <c r="L79" s="457" t="s">
        <v>480</v>
      </c>
      <c r="M79" s="457"/>
      <c r="N79" s="457"/>
      <c r="O79" s="457"/>
      <c r="Q79" s="457" t="s">
        <v>480</v>
      </c>
      <c r="R79" s="457"/>
      <c r="S79" s="457"/>
      <c r="T79" s="457"/>
      <c r="W79" s="457" t="s">
        <v>493</v>
      </c>
      <c r="X79" s="457"/>
      <c r="Y79" s="457"/>
      <c r="Z79" s="457"/>
      <c r="AB79" s="457" t="s">
        <v>494</v>
      </c>
      <c r="AC79" s="457"/>
      <c r="AD79" s="457"/>
      <c r="AE79" s="457"/>
    </row>
    <row r="80" spans="1:31" x14ac:dyDescent="0.25">
      <c r="B80" s="3" t="s">
        <v>309</v>
      </c>
      <c r="C80" s="3" t="str">
        <f>'Biodiversity Assessment'!I118</f>
        <v>Please select</v>
      </c>
      <c r="E80" s="3" t="s">
        <v>460</v>
      </c>
      <c r="F80" s="3" t="str">
        <f>'Biodiversity Assessment'!S118</f>
        <v>Please select</v>
      </c>
      <c r="G80" s="68" t="str">
        <f>IF(C80="No",0,IF(F80="Negative",-1,IF(F80="Neutral",0,IF(F80="Positive",1,""))))</f>
        <v/>
      </c>
      <c r="H80" s="69" t="str">
        <f>IF(C80="Yes","is in a key biodiversity area",IF(C80="No","is not in a key biodiversity area",""))</f>
        <v/>
      </c>
      <c r="L80" s="3" t="s">
        <v>481</v>
      </c>
      <c r="N80" s="3" t="s">
        <v>482</v>
      </c>
      <c r="Q80" s="3" t="s">
        <v>481</v>
      </c>
      <c r="S80" s="3" t="s">
        <v>482</v>
      </c>
      <c r="W80" s="3" t="s">
        <v>481</v>
      </c>
      <c r="Y80" s="3" t="s">
        <v>482</v>
      </c>
      <c r="AB80" s="3" t="s">
        <v>481</v>
      </c>
      <c r="AD80" s="3" t="s">
        <v>482</v>
      </c>
    </row>
    <row r="81" spans="1:31" x14ac:dyDescent="0.25">
      <c r="B81" s="3" t="s">
        <v>310</v>
      </c>
      <c r="C81" s="3" t="str">
        <f>'Biodiversity Assessment'!I119</f>
        <v>Please select</v>
      </c>
      <c r="E81" s="3" t="s">
        <v>461</v>
      </c>
      <c r="F81" s="3" t="str">
        <f>'Biodiversity Assessment'!S119</f>
        <v>Please select</v>
      </c>
      <c r="G81" s="68" t="str">
        <f>IF(C81="No",0,IF(F81="Negative",-1,IF(F81="Neutral",0,IF(F81="Positive",1,""))))</f>
        <v/>
      </c>
      <c r="H81" s="69" t="str">
        <f>IF(C81="Yes","is in a protected area",IF(C81="No","is not in a protected area",""))</f>
        <v/>
      </c>
      <c r="L81" s="3" t="s">
        <v>483</v>
      </c>
      <c r="M81" s="3">
        <v>60</v>
      </c>
      <c r="N81" s="3" t="s">
        <v>171</v>
      </c>
      <c r="O81" s="3" t="b">
        <f>IF(C80="No",17,IF(C80="Next to",61,IF(C80="Yes",125)))</f>
        <v>0</v>
      </c>
      <c r="Q81" s="3" t="s">
        <v>488</v>
      </c>
      <c r="R81" s="3">
        <v>60</v>
      </c>
      <c r="S81" s="3" t="s">
        <v>171</v>
      </c>
      <c r="T81" s="3" t="b">
        <f>IF(C81="No",17,IF(C81="Next to",61,IF(C81="Yes",125)))</f>
        <v>0</v>
      </c>
      <c r="W81" s="3">
        <v>1</v>
      </c>
      <c r="X81" s="3">
        <v>1</v>
      </c>
      <c r="Y81" s="3" t="s">
        <v>489</v>
      </c>
      <c r="Z81" s="3">
        <f>C82</f>
        <v>0</v>
      </c>
      <c r="AB81" s="3">
        <v>10</v>
      </c>
      <c r="AC81" s="3">
        <v>1</v>
      </c>
      <c r="AD81" s="3" t="s">
        <v>489</v>
      </c>
      <c r="AE81" s="3" t="b">
        <f>IF(C84="&lt;10% water stress",5,IF(C84="10-20% water stress",15,IF(C84="20-40% water stress",30,IF(C84="40-80% water stress",60,IF(C84="&gt; 80% water stress",90,IF(C84="Arid or low water use",100))))))</f>
        <v>0</v>
      </c>
    </row>
    <row r="82" spans="1:31" x14ac:dyDescent="0.25">
      <c r="B82" s="3" t="s">
        <v>471</v>
      </c>
      <c r="C82" s="3">
        <f>'Biodiversity Assessment'!I120</f>
        <v>0</v>
      </c>
      <c r="E82" s="3" t="s">
        <v>462</v>
      </c>
      <c r="F82" s="3" t="str">
        <f>'Biodiversity Assessment'!S120</f>
        <v>Please select</v>
      </c>
      <c r="G82" s="68" t="str">
        <f>IF(F82="Negative",-1,IF(F82="Neutral",0,IF(F82="Positive",1,"")))</f>
        <v/>
      </c>
      <c r="H82" s="69" t="str">
        <f>IF(C82="Please insert","",CONCATENATE("is an area where ",C82, "% of species are threatened"))</f>
        <v>is an area where 0% of species are threatened</v>
      </c>
      <c r="L82" s="3" t="s">
        <v>484</v>
      </c>
      <c r="M82" s="3">
        <v>60</v>
      </c>
      <c r="N82" s="3" t="s">
        <v>482</v>
      </c>
      <c r="O82" s="3">
        <v>2</v>
      </c>
      <c r="Q82" s="3" t="s">
        <v>484</v>
      </c>
      <c r="R82" s="3">
        <v>60</v>
      </c>
      <c r="S82" s="3" t="s">
        <v>482</v>
      </c>
      <c r="T82" s="3">
        <v>2</v>
      </c>
      <c r="W82" s="3">
        <v>2</v>
      </c>
      <c r="X82" s="3">
        <v>1</v>
      </c>
      <c r="Y82" s="3" t="s">
        <v>490</v>
      </c>
      <c r="Z82" s="3">
        <v>1</v>
      </c>
      <c r="AB82" s="3">
        <v>10</v>
      </c>
      <c r="AC82" s="3">
        <v>1</v>
      </c>
      <c r="AD82" s="3" t="s">
        <v>490</v>
      </c>
      <c r="AE82" s="3">
        <v>1</v>
      </c>
    </row>
    <row r="83" spans="1:31" x14ac:dyDescent="0.25">
      <c r="E83" s="3" t="s">
        <v>472</v>
      </c>
      <c r="F83" s="3" t="str">
        <f>'Biodiversity Assessment'!S121</f>
        <v>Please select</v>
      </c>
      <c r="G83" s="68" t="str">
        <f>IF(F83="Negative",-1,IF(F83="Neutral",0,IF(F83="Positive",1,"")))</f>
        <v/>
      </c>
      <c r="H83" s="69"/>
      <c r="L83" s="3" t="s">
        <v>485</v>
      </c>
      <c r="M83" s="3">
        <v>60</v>
      </c>
      <c r="N83" s="3" t="s">
        <v>164</v>
      </c>
      <c r="O83" s="3">
        <v>180</v>
      </c>
      <c r="Q83" s="3" t="s">
        <v>485</v>
      </c>
      <c r="R83" s="3">
        <v>60</v>
      </c>
      <c r="S83" s="3" t="s">
        <v>164</v>
      </c>
      <c r="T83" s="3">
        <v>180</v>
      </c>
      <c r="W83" s="3">
        <v>3</v>
      </c>
      <c r="X83" s="3">
        <v>1</v>
      </c>
      <c r="Y83" s="3" t="s">
        <v>491</v>
      </c>
      <c r="Z83" s="3">
        <f>100-Z81</f>
        <v>100</v>
      </c>
      <c r="AB83" s="3">
        <v>20</v>
      </c>
      <c r="AC83" s="3">
        <v>1</v>
      </c>
      <c r="AD83" s="3" t="s">
        <v>491</v>
      </c>
      <c r="AE83" s="3">
        <f>100-AE81</f>
        <v>100</v>
      </c>
    </row>
    <row r="84" spans="1:31" x14ac:dyDescent="0.25">
      <c r="B84" s="3" t="s">
        <v>285</v>
      </c>
      <c r="C84" s="3" t="str">
        <f>'Biodiversity Assessment'!I122</f>
        <v>Please select</v>
      </c>
      <c r="E84" s="3" t="s">
        <v>473</v>
      </c>
      <c r="F84" s="3" t="str">
        <f>'Biodiversity Assessment'!S122</f>
        <v>Please select</v>
      </c>
      <c r="G84" s="68" t="str">
        <f>IF(F84="Negative",-1,IF(F84="Neutral",0,IF(F84="Positive",1,"")))</f>
        <v/>
      </c>
      <c r="H84" s="69" t="str">
        <f>IF(C84="Please select","",CONCATENATE("is under a(n) ",C84, " regime"))</f>
        <v/>
      </c>
      <c r="L84" s="3" t="s">
        <v>486</v>
      </c>
      <c r="M84" s="3">
        <v>180</v>
      </c>
      <c r="Q84" s="3" t="s">
        <v>486</v>
      </c>
      <c r="R84" s="3">
        <v>180</v>
      </c>
      <c r="W84" s="3">
        <v>4</v>
      </c>
      <c r="X84" s="3">
        <v>1</v>
      </c>
      <c r="Y84" s="3" t="s">
        <v>492</v>
      </c>
      <c r="Z84" s="3">
        <v>100</v>
      </c>
      <c r="AB84" s="3">
        <v>40</v>
      </c>
      <c r="AC84" s="3">
        <v>1</v>
      </c>
      <c r="AD84" s="3" t="s">
        <v>492</v>
      </c>
      <c r="AE84" s="3">
        <v>100</v>
      </c>
    </row>
    <row r="85" spans="1:31" ht="13" x14ac:dyDescent="0.3">
      <c r="B85" s="44" t="s">
        <v>295</v>
      </c>
      <c r="F85" s="3" t="str">
        <f>IF(G85&lt;0,"negative",IF(G85=0,"neutral",IF(G85&gt;0,"positive",IF(G85="Not Applicable","Not Applicable",""))))</f>
        <v>positive</v>
      </c>
      <c r="G85" s="68" t="str">
        <f>IF(AND(G80="",G81="",G82="",G83="",G84=""),"Not Applicable",AVERAGE(G80:G84))</f>
        <v>Not Applicable</v>
      </c>
      <c r="H85" s="69"/>
      <c r="W85" s="3">
        <v>5</v>
      </c>
      <c r="X85" s="3">
        <v>1</v>
      </c>
      <c r="AB85" s="3">
        <v>20</v>
      </c>
    </row>
    <row r="86" spans="1:31" x14ac:dyDescent="0.25">
      <c r="H86" s="69" t="str">
        <f>IF(F85="Not Applicable","",CONCATENATE("The project has an expected ",F85," impact on the local biodiversity"))</f>
        <v>The project has an expected positive impact on the local biodiversity</v>
      </c>
      <c r="W86" s="3">
        <v>6</v>
      </c>
      <c r="X86" s="3">
        <v>1</v>
      </c>
      <c r="AB86" s="3">
        <v>100</v>
      </c>
    </row>
    <row r="87" spans="1:31" x14ac:dyDescent="0.25">
      <c r="B87" s="69"/>
      <c r="C87" s="69"/>
      <c r="D87" s="69" t="s">
        <v>479</v>
      </c>
      <c r="E87" s="69" t="s">
        <v>464</v>
      </c>
      <c r="W87" s="3">
        <v>7</v>
      </c>
      <c r="X87" s="3">
        <v>1</v>
      </c>
    </row>
    <row r="88" spans="1:31" x14ac:dyDescent="0.25">
      <c r="B88" s="69" t="s">
        <v>475</v>
      </c>
      <c r="C88" s="69" t="str">
        <f>CONCATENATE(IF('Biodiversity Assessment'!Q127="Yes","Promotion of biodiversity buffers, ",""),IF('Biodiversity Assessment'!Q128="Yes","Decrease of wildlife conflict, ",""),IF('Biodiversity Assessment'!Q129="Yes","Forest governance",""))</f>
        <v/>
      </c>
      <c r="D88" s="70">
        <f>IF(OR(AC118="Y",AC119="Y",AC120="Y"),F11,0)+ IF(OR(AD118="Y",AD119="Y",AD120="Y"),F12,0)+ IF(OR(AE118="Y",AE119="Y",AE120="Y"),F13,0)+ IF(OR(AF118="Y",AF119="Y",AF120="Y"),F14,0)+ IF(OR(AG118="Y",AG119="Y",AG120="Y"),F15,0)+ IF(OR(AH118="Y",AH119="Y",AH120="Y"),F16,0)+ IF(OR(AI118="Y",AI119="Y",AI120="Y"),F17,0)+ IF(OR(AJ118="Y",AJ119="Y",AJ120="Y"),F18,0)+ IF(OR(AK118="Y",AK119="Y",AK120="Y"),F19,0)+ IF(OR(AL118="Y",AL119="Y",AL120="Y"),F20,0)+ IF(OR(AM118="Y",AM119="Y",AM120="Y"),F21,0)+ IF(OR(AN118="Y",AN119="Y",AN120="Y"),F22,0)+ IF(OR(AO118="Y",AO119="Y",AO120="Y"),F23,0)+ IF(OR(AP118="Y",AP119="Y",AP120="Y"),F24,0)+ IF(OR(AQ118="Y",AQ119="Y",AQ120="Y"),F25,0)+ IF(OR(AR118="Y",AR119="Y",AR120="Y"),F26,0)+ IF(OR(AS118="Y",AS119="Y",AS120="Y"),F27,0)+ IF(OR(AT118="Y",AT119="Y",AT120="Y"),F28,0)+ IF(OR(AU118="Y",AU119="Y",AU120="Y"),F29,0)+ IF(OR(AV118="Y",AV119="Y",AV120="Y"),F30,0)+ IF(OR(AW118="Y",AW119="Y",AW120="Y"),F31,0)+ IF(OR(AX118="Y",AX119="Y",AX120="Y"),F32,0)+ IF(OR(AY118="Y",AY119="Y",AY120="Y"),F33,0)+ IF(OR(AZ118="Y",AZ119="Y",AZ120="Y"),F34,0)+ IF(OR(BA118="Y",BA119="Y",BA120="Y"),F35,0)+ IF(OR(BB118="Y",BB119="Y",BB120="Y"),F36,0)+ IF(OR(BC118="Y",BC119="Y",BC120="Y"),F37,0)+ IF(OR(BD118="Y",BD119="Y",BD120="Y"),F38,0)+ IF(OR(BE118="Y",BE119="Y",BE120="Y"),F39,0)+ IF(OR(BF118="Y",BF119="Y",BF120="Y"),F40,0)</f>
        <v>0</v>
      </c>
      <c r="E88" s="69">
        <f>SUM(B92:B94)</f>
        <v>0</v>
      </c>
      <c r="W88" s="3">
        <v>8</v>
      </c>
      <c r="X88" s="3">
        <v>1</v>
      </c>
    </row>
    <row r="89" spans="1:31" x14ac:dyDescent="0.25">
      <c r="B89" s="69" t="s">
        <v>476</v>
      </c>
      <c r="C89" s="69" t="str">
        <f>CONCATENATE(IF('Biodiversity Assessment'!Q134="Yes","Crop diversification, Intercropping, Crop rotation, ",""),IF('Biodiversity Assessment'!Q135="Yes","Promotion of crop varietal diversity, Traditional crops, Indigenous livestock breeds, ",""),IF('Biodiversity Assessment'!Q136="Yes","Integrated pest management, ",""),IF('Biodiversity Assessment'!Q137="Yes","Conservation agriculture, ",""),IF('Biodiversity Assessment'!Q138="Yes","Mixed farming systems, Mixed home gardens, ",""),IF('Biodiversity Assessment'!Q139="Yes","Water harvesting, Soil moisture retention methods, ",""),IF('Biodiversity Assessment'!Q140="Yes","Multi-functional field margins, ",""),IF('Biodiversity Assessment'!Q141="Yes","In-situ crop wild relatives conservation, ",""),IF('Biodiversity Assessment'!Q142="Yes","On-farm genetic resources conservation, Promotion of the local seed industry",""))</f>
        <v/>
      </c>
      <c r="D89" s="70">
        <f>IF(OR(AC125="Y",AC126="Y",AC127="Y", AC128="Y",X139="Y",AC130="Y", AC131="Y",AC132="Y",AC133="Y"),F11,0)+ IF(OR(AD125="Y",AD126="Y",AD127="Y", AD128="Y",AD129="Y",AD130="Y", AD131="Y",AD132="Y",AD133="Y"),F12,0)+ IF(OR(AE125="Y",AE126="Y",AE127="Y", AE128="Y",AE129="Y",AE130="Y", AE131="Y",AE132="Y",AE133="Y"),F13,0)+ IF(OR(AF125="Y",AF126="Y",AF127="Y", AF128="Y",AF129="Y",AF130="Y", AF131="Y",AF132="Y",AF133="Y"),F14,0)+ IF(OR(AG125="Y",AG126="Y",AG127="Y", AG128="Y",AG129="Y",AG130="Y", AG131="Y",AG132="Y",AG133="Y"),F15,0)+ IF(OR(AH125="Y",AH126="Y",AH127="Y", AH128="Y",AH129="Y",AH130="Y", AH131="Y",AH132="Y",AH133="Y"),F16,0)+ IF(OR(AI125="Y",AI126="Y",AI127="Y", AI128="Y",AI129="Y",AI130="Y", AI131="Y",AI132="Y",AI133="Y"),F17,0)+ IF(OR(AJ125="Y",AJ126="Y",AJ127="Y", AJ128="Y",AJ129="Y",AJ130="Y", AJ131="Y",AJ132="Y",AJ133="Y"),F18,0)+ IF(OR(AK125="Y",AK126="Y",AK127="Y", AK128="Y",AK129="Y",AK130="Y", AK131="Y",AK132="Y",AK133="Y"),F19,0)+ IF(OR(AL125="Y",AL126="Y",AL127="Y", AL128="Y",AL129="Y",AL130="Y", AL131="Y",AL132="Y",AL133="Y"),F20,0)+ IF(OR(AM125="Y",AM126="Y",AM127="Y", AM128="Y",AM129="Y",AM130="Y", AM131="Y",AM132="Y",AM133="Y"),F21,0)+ IF(OR(AN125="Y",AN126="Y",AN127="Y", AN128="Y",AN129="Y",AN130="Y", AN131="Y",AN132="Y",AN133="Y"),F22,0)+ IF(OR(AO125="Y",AO126="Y",AO127="Y", AO128="Y",AO129="Y",AO130="Y", AO131="Y",AO132="Y",AO133="Y"),F23,0)+ IF(OR(AP125="Y",AP126="Y",AP127="Y", AP128="Y",AP129="Y",AP130="Y", AP131="Y",AP132="Y",AP133="Y"),F24,0)+ IF(OR(AQ125="Y",AQ126="Y",AQ127="Y", AQ128="Y",AQ129="Y",AQ130="Y", AQ131="Y",AQ132="Y",AQ133="Y"),F25,0)+ IF(OR(AR125="Y",AR126="Y",AR127="Y", AR128="Y",AR129="Y",AR130="Y", AR131="Y",AR132="Y",AR133="Y"),F26,0)+ IF(OR(AS125="Y",AS126="Y",AS127="Y", AS128="Y",AS129="Y",AS130="Y", AS131="Y",AS132="Y",AS133="Y"),F27,0)+ IF(OR(AT125="Y",AT126="Y",AT127="Y", AT128="Y",AT129="Y",AT130="Y", AT131="Y",AT132="Y",AT133="Y"),F28,0)+ IF(OR(AU125="Y",AU126="Y",AU127="Y", AU128="Y",AU129="Y",AU130="Y", AU131="Y",AU132="Y",AU133="Y"),F29,0)+ IF(OR(AV125="Y",AV126="Y",AV127="Y", AV128="Y",AV129="Y",AV130="Y", AV131="Y",AV132="Y",AV133="Y"),F30,0)+ IF(OR(AW125="Y",AW126="Y",AW127="Y", AW128="Y",AW129="Y",AW130="Y", AW131="Y",AW132="Y",AW133="Y"),F31,0)+ IF(OR(AX125="Y",AX126="Y",AX127="Y", AX128="Y",AX129="Y",AX130="Y", AX131="Y",AX132="Y",AX133="Y"),F32,0)+ IF(OR(AY125="Y",AY126="Y",AY127="Y", AY128="Y",AY129="Y",AY130="Y", AY131="Y",AY132="Y",AY133="Y"),F33,0)+ IF(OR(AZ125="Y",AZ126="Y",AZ127="Y", AZ128="Y",AZ129="Y",AZ130="Y", AZ131="Y",AZ132="Y",AZ133="Y"),F34,0)+ IF(OR(BA125="Y",BA126="Y",BA127="Y", BA128="Y",BA129="Y",BA130="Y", BA131="Y",BA132="Y",BA133="Y"),F35,0)+ IF(OR(BB125="Y",BB126="Y",BB127="Y", BB128="Y",BB129="Y",BB130="Y", BB131="Y",BB132="Y",BB133="Y"),F36,0)+ IF(OR(BC125="Y",BC126="Y",BC127="Y", BC128="Y",BC129="Y",BC130="Y", BC131="Y",BC132="Y",BC133="Y"),F37,0)+ IF(OR(BD125="Y",BD126="Y",BD127="Y", BD128="Y",BD129="Y",BD130="Y", BD131="Y",BD132="Y",BD133="Y"),F38,0)+ IF(OR(BE125="Y",BE126="Y",BE127="Y", BE128="Y",BE129="Y",BE130="Y", BE131="Y",BE132="Y",BE133="Y"),F39,0)+ IF(OR(BF125="Y",BF126="Y",BF127="Y", BF128="Y",BF129="Y",BF130="Y", BF131="Y",BF132="Y",BF133="Y"),F40,0)</f>
        <v>0</v>
      </c>
      <c r="E89" s="69">
        <f>SUM(B95:B103)</f>
        <v>0</v>
      </c>
      <c r="W89" s="3">
        <v>9</v>
      </c>
      <c r="X89" s="3">
        <v>1</v>
      </c>
    </row>
    <row r="90" spans="1:31" x14ac:dyDescent="0.25">
      <c r="B90" s="69" t="s">
        <v>40</v>
      </c>
      <c r="C90" s="69"/>
      <c r="D90" s="70">
        <f>IF(OR(AC118="Y",AC119="Y",AC120="Y", AC125="Y",AC126="Y",AC127="Y", AC128="Y",X139="Y",AC130="Y", AC131="Y",AC132="Y",AC133="Y"),F11,0)+ IF(OR(AD118="Y",AD119="Y",AD120="Y", AD125="Y",AD126="Y",AD127="Y", AD128="Y",AD129="Y",AD130="Y", AD131="Y",AD132="Y",AD133="Y"),F12,0)+ IF(OR(AE118="Y",AE119="Y",AE120="Y", AE125="Y",AE126="Y",AE127="Y", AE128="Y",AE129="Y",AE130="Y", AE131="Y",AE132="Y",AE133="Y"),F13,0)+ IF(OR(AF118="Y",AF119="Y",AF120="Y", AF125="Y",AF126="Y",AF127="Y", AF128="Y",AF129="Y",AF130="Y", AF131="Y",AF132="Y",AF133="Y"),F14,0)+ IF(OR(AG118="Y",AG119="Y",AG120="Y", AG125="Y",AG126="Y",AG127="Y", AG128="Y",AG129="Y",AG130="Y", AG131="Y",AG132="Y",AG133="Y"),F15,0)+ IF(OR(AH118="Y",AH119="Y",AH120="Y", AH125="Y",AH126="Y",AH127="Y", AH128="Y",AH129="Y",AH130="Y", AH131="Y",AH132="Y",AH133="Y"),F16,0)+ IF(OR(AI118="Y",AI119="Y",AI120="Y", AI125="Y",AI126="Y",AI127="Y", AI128="Y",AI129="Y",AI130="Y", AI131="Y",AI132="Y",AI133="Y"),F17,0)+ IF(OR(AJ118="Y",AJ119="Y",AJ120="Y", AJ125="Y",AJ126="Y",AJ127="Y", AJ128="Y",AJ129="Y",AJ130="Y", AJ131="Y",AJ132="Y",AJ133="Y"),F18,0)+ IF(OR(AK118="Y",AK119="Y",AK120="Y", AK125="Y",AK126="Y",AK127="Y", AK128="Y",AK129="Y",AK130="Y", AK131="Y",AK132="Y",AK133="Y"),F19,0)+ IF(OR(AL118="Y",AL119="Y",AL120="Y", AL125="Y",AL126="Y",AL127="Y", AL128="Y",AL129="Y",AL130="Y", AL131="Y",AL132="Y",AL133="Y"),F20,0)+ IF(OR(AM118="Y",AM119="Y",AM120="Y", AM125="Y",AM126="Y",AM127="Y", AM128="Y",AM129="Y",AM130="Y", AM131="Y",AM132="Y",AM133="Y"),F21,0)+ IF(OR(AN118="Y",AN119="Y",AN120="Y", AN125="Y",AN126="Y",AN127="Y", AN128="Y",AN129="Y",AN130="Y", AN131="Y",AN132="Y",AN133="Y"),F22,0)+ IF(OR(AO118="Y",AO119="Y",AO120="Y", AO125="Y",AO126="Y",AO127="Y", AO128="Y",AO129="Y",AO130="Y", AO131="Y",AO132="Y",AO133="Y"),F23,0)+ IF(OR(AP118="Y",AP119="Y",AP120="Y", AP125="Y",AP126="Y",AP127="Y", AP128="Y",AP129="Y",AP130="Y", AP131="Y",AP132="Y",AP133="Y"),F24,0)+ IF(OR(AQ118="Y",AQ119="Y",AQ120="Y", AQ125="Y",AQ126="Y",AQ127="Y", AQ128="Y",AQ129="Y",AQ130="Y", AQ131="Y",AQ132="Y",AQ133="Y"),F25,0)+ IF(OR(AR118="Y",AR119="Y",AR120="Y", AR125="Y",AR126="Y",AR127="Y", AR128="Y",AR129="Y",AR130="Y", AR131="Y",AR132="Y",AR133="Y"),F26,0)+ IF(OR(AS118="Y",AS119="Y",AS120="Y", AS125="Y",AS126="Y",AS127="Y", AS128="Y",AS129="Y",AS130="Y", AS131="Y",AS132="Y",AS133="Y"),F27,0)+ IF(OR(AT118="Y",AT119="Y",AT120="Y", AT125="Y",AT126="Y",AT127="Y", AT128="Y",AT129="Y",AT130="Y", AT131="Y",AT132="Y",AT133="Y"),F28,0)+ IF(OR(AU118="Y",AU119="Y",AU120="Y", AU125="Y",AU126="Y",AU127="Y", AU128="Y",AU129="Y",AU130="Y", AU131="Y",AU132="Y",AU133="Y"),F29,0)+ IF(OR(AV118="Y",AV119="Y",AV120="Y", AV125="Y",AV126="Y",AV127="Y", AV128="Y",AV129="Y",AV130="Y", AV131="Y",AV132="Y",AV133="Y"),F30,0)+ IF(OR(AW118="Y",AW119="Y",AW120="Y", AW125="Y",AW126="Y",AW127="Y", AW128="Y",AW129="Y",AW130="Y", AW131="Y",AW132="Y",AW133="Y"),F31,0)+ IF(OR(AX118="Y",AX119="Y",AX120="Y", AX125="Y",AX126="Y",AX127="Y", AX128="Y",AX129="Y",AX130="Y", AX131="Y",AX132="Y",AX133="Y"),F32,0)+ IF(OR(AY118="Y",AY119="Y",AY120="Y", AY125="Y",AY126="Y",AY127="Y", AY128="Y",AY129="Y",AY130="Y", AY131="Y",AY132="Y",AY133="Y"),F33,0)+ IF(OR(AZ118="Y",AZ119="Y",AZ120="Y", AZ125="Y",AZ126="Y",AZ127="Y", AZ128="Y",AZ129="Y",AZ130="Y", AZ131="Y",AZ132="Y",AZ133="Y"),F34,0)+ IF(OR(BA118="Y",BA119="Y",BA120="Y", BA125="Y",BA126="Y",BA127="Y", BA128="Y",BA129="Y",BA130="Y", BA131="Y",BA132="Y",BA133="Y"),F35,0)+ IF(OR(BB118="Y",BB119="Y",BB120="Y", BB125="Y",BB126="Y",BB127="Y", BB128="Y",BB129="Y",BB130="Y", BB131="Y",BB132="Y",BB133="Y"),F36,0)+ IF(OR(BC118="Y",BC119="Y",BC120="Y", BC125="Y",BC126="Y",BC127="Y", BC128="Y",BC129="Y",BC130="Y", BC131="Y",BC132="Y",BC133="Y"),F37,0)+ IF(OR(BD118="Y",BD119="Y",BD120="Y", BD125="Y",BD126="Y",BD127="Y", BD128="Y",BD129="Y",BD130="Y", BD131="Y",BD132="Y",BD133="Y"),F38,0)+ IF(OR(BE118="Y",BE119="Y",BE120="Y", BE125="Y",BE126="Y",BE127="Y", BE128="Y",BE129="Y",BE130="Y", BE131="Y",BE132="Y",BE133="Y"),F39,0)+ IF(OR(BF118="Y",BF119="Y",BF120="Y", BF125="Y",BF126="Y",BF127="Y", BF128="Y",BF129="Y",BF130="Y", BF131="Y",BF132="Y",BF133="Y"),F40,0)</f>
        <v>0</v>
      </c>
      <c r="E90" s="69">
        <f>B104</f>
        <v>0</v>
      </c>
      <c r="W90" s="3">
        <v>10</v>
      </c>
      <c r="X90" s="3">
        <v>1</v>
      </c>
    </row>
    <row r="91" spans="1:31" x14ac:dyDescent="0.25">
      <c r="W91" s="3">
        <v>11</v>
      </c>
      <c r="X91" s="3">
        <v>1</v>
      </c>
    </row>
    <row r="92" spans="1:31" x14ac:dyDescent="0.25">
      <c r="A92" s="3">
        <v>6</v>
      </c>
      <c r="B92" s="3">
        <f>IF('Biodiversity Assessment'!S127="Please insert",0,'Biodiversity Assessment'!S127)</f>
        <v>0</v>
      </c>
      <c r="W92" s="3">
        <v>12</v>
      </c>
      <c r="X92" s="3">
        <v>1</v>
      </c>
    </row>
    <row r="93" spans="1:31" x14ac:dyDescent="0.25">
      <c r="A93" s="3">
        <v>7</v>
      </c>
      <c r="B93" s="3">
        <f>IF('Biodiversity Assessment'!S128="Please insert",0,'Biodiversity Assessment'!S128)</f>
        <v>0</v>
      </c>
      <c r="W93" s="3">
        <v>13</v>
      </c>
      <c r="X93" s="3">
        <v>1</v>
      </c>
    </row>
    <row r="94" spans="1:31" x14ac:dyDescent="0.25">
      <c r="A94" s="3">
        <v>8</v>
      </c>
      <c r="B94" s="3">
        <f>IF('Biodiversity Assessment'!S129="Please insert",0,'Biodiversity Assessment'!S129)</f>
        <v>0</v>
      </c>
      <c r="W94" s="3">
        <v>14</v>
      </c>
      <c r="X94" s="3">
        <v>1</v>
      </c>
    </row>
    <row r="95" spans="1:31" x14ac:dyDescent="0.25">
      <c r="A95" s="3">
        <v>9</v>
      </c>
      <c r="B95" s="3">
        <f>IF('Biodiversity Assessment'!S134="Please insert",0,'Biodiversity Assessment'!S134)</f>
        <v>0</v>
      </c>
      <c r="W95" s="3">
        <v>15</v>
      </c>
      <c r="X95" s="3">
        <v>1</v>
      </c>
    </row>
    <row r="96" spans="1:31" x14ac:dyDescent="0.25">
      <c r="A96" s="3">
        <v>10</v>
      </c>
      <c r="B96" s="3">
        <f>IF('Biodiversity Assessment'!S135="Please insert",0,'Biodiversity Assessment'!S135)</f>
        <v>0</v>
      </c>
      <c r="W96" s="3">
        <v>16</v>
      </c>
      <c r="X96" s="3">
        <v>1</v>
      </c>
    </row>
    <row r="97" spans="1:24" x14ac:dyDescent="0.25">
      <c r="A97" s="3">
        <v>11</v>
      </c>
      <c r="B97" s="3">
        <f>IF('Biodiversity Assessment'!S136="Please insert",0,'Biodiversity Assessment'!S136)</f>
        <v>0</v>
      </c>
      <c r="W97" s="3">
        <v>17</v>
      </c>
      <c r="X97" s="3">
        <v>1</v>
      </c>
    </row>
    <row r="98" spans="1:24" x14ac:dyDescent="0.25">
      <c r="A98" s="3">
        <v>12</v>
      </c>
      <c r="B98" s="3">
        <f>IF('Biodiversity Assessment'!S137="Please insert",0,'Biodiversity Assessment'!S137)</f>
        <v>0</v>
      </c>
      <c r="W98" s="3">
        <v>18</v>
      </c>
      <c r="X98" s="3">
        <v>1</v>
      </c>
    </row>
    <row r="99" spans="1:24" x14ac:dyDescent="0.25">
      <c r="A99" s="3">
        <v>13</v>
      </c>
      <c r="B99" s="3">
        <f>IF('Biodiversity Assessment'!S138="Please insert",0,'Biodiversity Assessment'!S138)</f>
        <v>0</v>
      </c>
      <c r="W99" s="3">
        <v>19</v>
      </c>
      <c r="X99" s="3">
        <v>1</v>
      </c>
    </row>
    <row r="100" spans="1:24" x14ac:dyDescent="0.25">
      <c r="A100" s="3">
        <v>14</v>
      </c>
      <c r="B100" s="3">
        <f>IF('Biodiversity Assessment'!S139="Please insert",0,'Biodiversity Assessment'!S139)</f>
        <v>0</v>
      </c>
      <c r="W100" s="3">
        <v>20</v>
      </c>
      <c r="X100" s="3">
        <v>1</v>
      </c>
    </row>
    <row r="101" spans="1:24" x14ac:dyDescent="0.25">
      <c r="A101" s="3">
        <v>15</v>
      </c>
      <c r="B101" s="3">
        <f>IF('Biodiversity Assessment'!S140="Please insert",0,'Biodiversity Assessment'!S140)</f>
        <v>0</v>
      </c>
      <c r="W101" s="3">
        <v>21</v>
      </c>
      <c r="X101" s="3">
        <v>1</v>
      </c>
    </row>
    <row r="102" spans="1:24" x14ac:dyDescent="0.25">
      <c r="A102" s="3">
        <v>16</v>
      </c>
      <c r="B102" s="3">
        <f>IF('Biodiversity Assessment'!S141="Please insert",0,'Biodiversity Assessment'!S141)</f>
        <v>0</v>
      </c>
      <c r="W102" s="3">
        <v>22</v>
      </c>
      <c r="X102" s="3">
        <v>1</v>
      </c>
    </row>
    <row r="103" spans="1:24" x14ac:dyDescent="0.25">
      <c r="A103" s="3">
        <v>17</v>
      </c>
      <c r="B103" s="3">
        <f>IF('Biodiversity Assessment'!S142="Please insert",0,'Biodiversity Assessment'!S142)</f>
        <v>0</v>
      </c>
      <c r="W103" s="3">
        <v>23</v>
      </c>
      <c r="X103" s="3">
        <v>1</v>
      </c>
    </row>
    <row r="104" spans="1:24" x14ac:dyDescent="0.25">
      <c r="A104" s="3" t="s">
        <v>40</v>
      </c>
      <c r="B104" s="3">
        <f>SUM(B92:B103)</f>
        <v>0</v>
      </c>
      <c r="W104" s="3">
        <v>24</v>
      </c>
      <c r="X104" s="3">
        <v>1</v>
      </c>
    </row>
    <row r="105" spans="1:24" x14ac:dyDescent="0.25">
      <c r="W105" s="3">
        <v>25</v>
      </c>
      <c r="X105" s="3">
        <v>1</v>
      </c>
    </row>
    <row r="106" spans="1:24" x14ac:dyDescent="0.25">
      <c r="W106" s="3">
        <v>26</v>
      </c>
      <c r="X106" s="3">
        <v>1</v>
      </c>
    </row>
    <row r="107" spans="1:24" x14ac:dyDescent="0.25">
      <c r="W107" s="3">
        <v>27</v>
      </c>
      <c r="X107" s="3">
        <v>1</v>
      </c>
    </row>
    <row r="108" spans="1:24" x14ac:dyDescent="0.25">
      <c r="W108" s="3">
        <v>28</v>
      </c>
      <c r="X108" s="3">
        <v>1</v>
      </c>
    </row>
    <row r="109" spans="1:24" x14ac:dyDescent="0.25">
      <c r="W109" s="3">
        <v>29</v>
      </c>
      <c r="X109" s="3">
        <v>1</v>
      </c>
    </row>
    <row r="110" spans="1:24" x14ac:dyDescent="0.25">
      <c r="W110" s="3">
        <v>30</v>
      </c>
      <c r="X110" s="3">
        <v>1</v>
      </c>
    </row>
    <row r="111" spans="1:24" x14ac:dyDescent="0.25">
      <c r="B111" s="71"/>
      <c r="C111" s="71"/>
      <c r="W111" s="3">
        <v>31</v>
      </c>
      <c r="X111" s="3">
        <v>1</v>
      </c>
    </row>
    <row r="112" spans="1:24" x14ac:dyDescent="0.25">
      <c r="B112" s="71"/>
      <c r="C112" s="71"/>
      <c r="W112" s="3">
        <v>32</v>
      </c>
      <c r="X112" s="3">
        <v>1</v>
      </c>
    </row>
    <row r="113" spans="2:58" x14ac:dyDescent="0.25">
      <c r="B113" s="71"/>
      <c r="C113" s="71"/>
      <c r="W113" s="3">
        <v>33</v>
      </c>
      <c r="X113" s="3">
        <v>1</v>
      </c>
    </row>
    <row r="114" spans="2:58" x14ac:dyDescent="0.25">
      <c r="B114" s="71"/>
      <c r="C114" s="71"/>
      <c r="W114" s="3">
        <v>34</v>
      </c>
      <c r="X114" s="3">
        <v>1</v>
      </c>
    </row>
    <row r="115" spans="2:58" x14ac:dyDescent="0.25">
      <c r="B115" s="71"/>
      <c r="C115" s="71"/>
      <c r="W115" s="3">
        <v>35</v>
      </c>
      <c r="X115" s="3">
        <v>1</v>
      </c>
    </row>
    <row r="116" spans="2:58" x14ac:dyDescent="0.25">
      <c r="B116" s="71"/>
      <c r="C116" s="71"/>
      <c r="W116" s="3">
        <v>36</v>
      </c>
      <c r="X116" s="3">
        <v>1</v>
      </c>
    </row>
    <row r="117" spans="2:58" x14ac:dyDescent="0.25">
      <c r="B117" s="71"/>
      <c r="C117" s="71"/>
      <c r="W117" s="3">
        <v>37</v>
      </c>
      <c r="X117" s="3">
        <v>1</v>
      </c>
    </row>
    <row r="118" spans="2:58" x14ac:dyDescent="0.25">
      <c r="B118" s="71"/>
      <c r="C118" s="71"/>
      <c r="W118" s="3">
        <v>38</v>
      </c>
      <c r="X118" s="3">
        <v>1</v>
      </c>
      <c r="AC118" s="3" t="str">
        <f>'Biodiversity Assessment'!X127</f>
        <v>?</v>
      </c>
      <c r="AD118" s="3" t="str">
        <f>'Biodiversity Assessment'!Y127</f>
        <v>?</v>
      </c>
      <c r="AE118" s="3" t="str">
        <f>'Biodiversity Assessment'!Z127</f>
        <v>?</v>
      </c>
      <c r="AF118" s="3" t="str">
        <f>'Biodiversity Assessment'!AA127</f>
        <v>?</v>
      </c>
      <c r="AG118" s="3" t="str">
        <f>'Biodiversity Assessment'!AB127</f>
        <v>?</v>
      </c>
      <c r="AH118" s="3" t="str">
        <f>'Biodiversity Assessment'!AC127</f>
        <v>?</v>
      </c>
      <c r="AI118" s="3" t="str">
        <f>'Biodiversity Assessment'!AD127</f>
        <v>?</v>
      </c>
      <c r="AJ118" s="3" t="str">
        <f>'Biodiversity Assessment'!AE127</f>
        <v>?</v>
      </c>
      <c r="AK118" s="3" t="str">
        <f>'Biodiversity Assessment'!AF127</f>
        <v>?</v>
      </c>
      <c r="AL118" s="3" t="str">
        <f>'Biodiversity Assessment'!AG127</f>
        <v>?</v>
      </c>
      <c r="AM118" s="3" t="str">
        <f>'Biodiversity Assessment'!AH127</f>
        <v>?</v>
      </c>
      <c r="AN118" s="3" t="str">
        <f>'Biodiversity Assessment'!AI127</f>
        <v>?</v>
      </c>
      <c r="AO118" s="3" t="str">
        <f>'Biodiversity Assessment'!AJ127</f>
        <v>?</v>
      </c>
      <c r="AP118" s="3" t="str">
        <f>'Biodiversity Assessment'!AK127</f>
        <v>?</v>
      </c>
      <c r="AQ118" s="3" t="str">
        <f>'Biodiversity Assessment'!AL127</f>
        <v>?</v>
      </c>
      <c r="AR118" s="3" t="str">
        <f>'Biodiversity Assessment'!AM127</f>
        <v>?</v>
      </c>
      <c r="AS118" s="3" t="str">
        <f>'Biodiversity Assessment'!AN127</f>
        <v>?</v>
      </c>
      <c r="AT118" s="3" t="str">
        <f>'Biodiversity Assessment'!AO127</f>
        <v>?</v>
      </c>
      <c r="AU118" s="3" t="str">
        <f>'Biodiversity Assessment'!AP127</f>
        <v>?</v>
      </c>
      <c r="AV118" s="3" t="str">
        <f>'Biodiversity Assessment'!AQ127</f>
        <v>?</v>
      </c>
      <c r="AW118" s="3" t="str">
        <f>'Biodiversity Assessment'!AR127</f>
        <v>?</v>
      </c>
      <c r="AX118" s="3" t="str">
        <f>'Biodiversity Assessment'!AS127</f>
        <v>?</v>
      </c>
      <c r="AY118" s="3" t="str">
        <f>'Biodiversity Assessment'!AT127</f>
        <v>?</v>
      </c>
      <c r="AZ118" s="3" t="str">
        <f>'Biodiversity Assessment'!AU127</f>
        <v>?</v>
      </c>
      <c r="BA118" s="3" t="str">
        <f>'Biodiversity Assessment'!AV127</f>
        <v>?</v>
      </c>
      <c r="BB118" s="3" t="str">
        <f>'Biodiversity Assessment'!AW127</f>
        <v>?</v>
      </c>
      <c r="BC118" s="3" t="str">
        <f>'Biodiversity Assessment'!AX127</f>
        <v>?</v>
      </c>
      <c r="BD118" s="3" t="str">
        <f>'Biodiversity Assessment'!AY127</f>
        <v>?</v>
      </c>
      <c r="BE118" s="3" t="str">
        <f>'Biodiversity Assessment'!AZ127</f>
        <v>?</v>
      </c>
      <c r="BF118" s="3" t="str">
        <f>'Biodiversity Assessment'!BA127</f>
        <v>?</v>
      </c>
    </row>
    <row r="119" spans="2:58" x14ac:dyDescent="0.25">
      <c r="B119" s="71"/>
      <c r="C119" s="71"/>
      <c r="W119" s="3">
        <v>39</v>
      </c>
      <c r="X119" s="3">
        <v>1</v>
      </c>
      <c r="AC119" s="3" t="str">
        <f>'Biodiversity Assessment'!X128</f>
        <v>?</v>
      </c>
      <c r="AD119" s="3" t="str">
        <f>'Biodiversity Assessment'!Y128</f>
        <v>?</v>
      </c>
      <c r="AE119" s="3" t="str">
        <f>'Biodiversity Assessment'!Z128</f>
        <v>?</v>
      </c>
      <c r="AF119" s="3" t="str">
        <f>'Biodiversity Assessment'!AA128</f>
        <v>?</v>
      </c>
      <c r="AG119" s="3" t="str">
        <f>'Biodiversity Assessment'!AB128</f>
        <v>?</v>
      </c>
      <c r="AH119" s="3" t="str">
        <f>'Biodiversity Assessment'!AC128</f>
        <v>?</v>
      </c>
      <c r="AI119" s="3" t="str">
        <f>'Biodiversity Assessment'!AD128</f>
        <v>?</v>
      </c>
      <c r="AJ119" s="3" t="str">
        <f>'Biodiversity Assessment'!AE128</f>
        <v>?</v>
      </c>
      <c r="AK119" s="3" t="str">
        <f>'Biodiversity Assessment'!AF128</f>
        <v>?</v>
      </c>
      <c r="AL119" s="3" t="str">
        <f>'Biodiversity Assessment'!AG128</f>
        <v>?</v>
      </c>
      <c r="AM119" s="3" t="str">
        <f>'Biodiversity Assessment'!AH128</f>
        <v>?</v>
      </c>
      <c r="AN119" s="3" t="str">
        <f>'Biodiversity Assessment'!AI128</f>
        <v>?</v>
      </c>
      <c r="AO119" s="3" t="str">
        <f>'Biodiversity Assessment'!AJ128</f>
        <v>?</v>
      </c>
      <c r="AP119" s="3" t="str">
        <f>'Biodiversity Assessment'!AK128</f>
        <v>?</v>
      </c>
      <c r="AQ119" s="3" t="str">
        <f>'Biodiversity Assessment'!AL128</f>
        <v>?</v>
      </c>
      <c r="AR119" s="3" t="str">
        <f>'Biodiversity Assessment'!AM128</f>
        <v>?</v>
      </c>
      <c r="AS119" s="3" t="str">
        <f>'Biodiversity Assessment'!AN128</f>
        <v>?</v>
      </c>
      <c r="AT119" s="3" t="str">
        <f>'Biodiversity Assessment'!AO128</f>
        <v>?</v>
      </c>
      <c r="AU119" s="3" t="str">
        <f>'Biodiversity Assessment'!AP128</f>
        <v>?</v>
      </c>
      <c r="AV119" s="3" t="str">
        <f>'Biodiversity Assessment'!AQ128</f>
        <v>?</v>
      </c>
      <c r="AW119" s="3" t="str">
        <f>'Biodiversity Assessment'!AR128</f>
        <v>?</v>
      </c>
      <c r="AX119" s="3" t="str">
        <f>'Biodiversity Assessment'!AS128</f>
        <v>?</v>
      </c>
      <c r="AY119" s="3" t="str">
        <f>'Biodiversity Assessment'!AT128</f>
        <v>?</v>
      </c>
      <c r="AZ119" s="3" t="str">
        <f>'Biodiversity Assessment'!AU128</f>
        <v>?</v>
      </c>
      <c r="BA119" s="3" t="str">
        <f>'Biodiversity Assessment'!AV128</f>
        <v>?</v>
      </c>
      <c r="BB119" s="3" t="str">
        <f>'Biodiversity Assessment'!AW128</f>
        <v>?</v>
      </c>
      <c r="BC119" s="3" t="str">
        <f>'Biodiversity Assessment'!AX128</f>
        <v>?</v>
      </c>
      <c r="BD119" s="3" t="str">
        <f>'Biodiversity Assessment'!AY128</f>
        <v>?</v>
      </c>
      <c r="BE119" s="3" t="str">
        <f>'Biodiversity Assessment'!AZ128</f>
        <v>?</v>
      </c>
      <c r="BF119" s="3" t="str">
        <f>'Biodiversity Assessment'!BA128</f>
        <v>?</v>
      </c>
    </row>
    <row r="120" spans="2:58" x14ac:dyDescent="0.25">
      <c r="B120" s="71"/>
      <c r="C120" s="71"/>
      <c r="W120" s="3">
        <v>40</v>
      </c>
      <c r="X120" s="3">
        <v>1</v>
      </c>
      <c r="AC120" s="3" t="str">
        <f>'Biodiversity Assessment'!X129</f>
        <v>?</v>
      </c>
      <c r="AD120" s="3" t="str">
        <f>'Biodiversity Assessment'!Y129</f>
        <v>?</v>
      </c>
      <c r="AE120" s="3" t="str">
        <f>'Biodiversity Assessment'!Z129</f>
        <v>?</v>
      </c>
      <c r="AF120" s="3" t="str">
        <f>'Biodiversity Assessment'!AA129</f>
        <v>?</v>
      </c>
      <c r="AG120" s="3" t="str">
        <f>'Biodiversity Assessment'!AB129</f>
        <v>?</v>
      </c>
      <c r="AH120" s="3" t="str">
        <f>'Biodiversity Assessment'!AC129</f>
        <v>?</v>
      </c>
      <c r="AI120" s="3" t="str">
        <f>'Biodiversity Assessment'!AD129</f>
        <v>?</v>
      </c>
      <c r="AJ120" s="3" t="str">
        <f>'Biodiversity Assessment'!AE129</f>
        <v>?</v>
      </c>
      <c r="AK120" s="3" t="str">
        <f>'Biodiversity Assessment'!AF129</f>
        <v>?</v>
      </c>
      <c r="AL120" s="3" t="str">
        <f>'Biodiversity Assessment'!AG129</f>
        <v>?</v>
      </c>
      <c r="AM120" s="3" t="str">
        <f>'Biodiversity Assessment'!AH129</f>
        <v>?</v>
      </c>
      <c r="AN120" s="3" t="str">
        <f>'Biodiversity Assessment'!AI129</f>
        <v>?</v>
      </c>
      <c r="AO120" s="3" t="str">
        <f>'Biodiversity Assessment'!AJ129</f>
        <v>?</v>
      </c>
      <c r="AP120" s="3" t="str">
        <f>'Biodiversity Assessment'!AK129</f>
        <v>?</v>
      </c>
      <c r="AQ120" s="3" t="str">
        <f>'Biodiversity Assessment'!AL129</f>
        <v>?</v>
      </c>
      <c r="AR120" s="3" t="str">
        <f>'Biodiversity Assessment'!AM129</f>
        <v>?</v>
      </c>
      <c r="AS120" s="3" t="str">
        <f>'Biodiversity Assessment'!AN129</f>
        <v>?</v>
      </c>
      <c r="AT120" s="3" t="str">
        <f>'Biodiversity Assessment'!AO129</f>
        <v>?</v>
      </c>
      <c r="AU120" s="3" t="str">
        <f>'Biodiversity Assessment'!AP129</f>
        <v>?</v>
      </c>
      <c r="AV120" s="3" t="str">
        <f>'Biodiversity Assessment'!AQ129</f>
        <v>?</v>
      </c>
      <c r="AW120" s="3" t="str">
        <f>'Biodiversity Assessment'!AR129</f>
        <v>?</v>
      </c>
      <c r="AX120" s="3" t="str">
        <f>'Biodiversity Assessment'!AS129</f>
        <v>?</v>
      </c>
      <c r="AY120" s="3" t="str">
        <f>'Biodiversity Assessment'!AT129</f>
        <v>?</v>
      </c>
      <c r="AZ120" s="3" t="str">
        <f>'Biodiversity Assessment'!AU129</f>
        <v>?</v>
      </c>
      <c r="BA120" s="3" t="str">
        <f>'Biodiversity Assessment'!AV129</f>
        <v>?</v>
      </c>
      <c r="BB120" s="3" t="str">
        <f>'Biodiversity Assessment'!AW129</f>
        <v>?</v>
      </c>
      <c r="BC120" s="3" t="str">
        <f>'Biodiversity Assessment'!AX129</f>
        <v>?</v>
      </c>
      <c r="BD120" s="3" t="str">
        <f>'Biodiversity Assessment'!AY129</f>
        <v>?</v>
      </c>
      <c r="BE120" s="3" t="str">
        <f>'Biodiversity Assessment'!AZ129</f>
        <v>?</v>
      </c>
      <c r="BF120" s="3" t="str">
        <f>'Biodiversity Assessment'!BA129</f>
        <v>?</v>
      </c>
    </row>
    <row r="121" spans="2:58" x14ac:dyDescent="0.25">
      <c r="B121" s="71"/>
      <c r="C121" s="71"/>
      <c r="W121" s="3">
        <v>41</v>
      </c>
      <c r="X121" s="3">
        <v>1</v>
      </c>
    </row>
    <row r="122" spans="2:58" x14ac:dyDescent="0.25">
      <c r="B122" s="71"/>
      <c r="C122" s="71"/>
      <c r="W122" s="3">
        <v>42</v>
      </c>
      <c r="X122" s="3">
        <v>1</v>
      </c>
    </row>
    <row r="123" spans="2:58" x14ac:dyDescent="0.25">
      <c r="B123" s="71"/>
      <c r="C123" s="71"/>
      <c r="W123" s="3">
        <v>43</v>
      </c>
      <c r="X123" s="3">
        <v>1</v>
      </c>
    </row>
    <row r="124" spans="2:58" x14ac:dyDescent="0.25">
      <c r="B124" s="71"/>
      <c r="C124" s="71"/>
      <c r="W124" s="3">
        <v>44</v>
      </c>
      <c r="X124" s="3">
        <v>1</v>
      </c>
    </row>
    <row r="125" spans="2:58" x14ac:dyDescent="0.25">
      <c r="B125" s="71"/>
      <c r="C125" s="71"/>
      <c r="W125" s="3">
        <v>45</v>
      </c>
      <c r="X125" s="3">
        <v>1</v>
      </c>
      <c r="AC125" s="3" t="str">
        <f>'Biodiversity Assessment'!X134</f>
        <v>?</v>
      </c>
      <c r="AD125" s="3" t="str">
        <f>'Biodiversity Assessment'!Y134</f>
        <v>?</v>
      </c>
      <c r="AE125" s="3" t="str">
        <f>'Biodiversity Assessment'!Z134</f>
        <v>?</v>
      </c>
      <c r="AF125" s="3" t="str">
        <f>'Biodiversity Assessment'!AA134</f>
        <v>?</v>
      </c>
      <c r="AG125" s="3" t="str">
        <f>'Biodiversity Assessment'!AB134</f>
        <v>?</v>
      </c>
      <c r="AH125" s="3" t="str">
        <f>'Biodiversity Assessment'!AC134</f>
        <v>?</v>
      </c>
      <c r="AI125" s="3" t="str">
        <f>'Biodiversity Assessment'!AD134</f>
        <v>?</v>
      </c>
      <c r="AJ125" s="3" t="str">
        <f>'Biodiversity Assessment'!AE134</f>
        <v>?</v>
      </c>
      <c r="AK125" s="3" t="str">
        <f>'Biodiversity Assessment'!AF134</f>
        <v>?</v>
      </c>
      <c r="AL125" s="3" t="str">
        <f>'Biodiversity Assessment'!AG134</f>
        <v>?</v>
      </c>
      <c r="AM125" s="3" t="str">
        <f>'Biodiversity Assessment'!AH134</f>
        <v>?</v>
      </c>
      <c r="AN125" s="3" t="str">
        <f>'Biodiversity Assessment'!AI134</f>
        <v>?</v>
      </c>
      <c r="AO125" s="3" t="str">
        <f>'Biodiversity Assessment'!AJ134</f>
        <v>?</v>
      </c>
      <c r="AP125" s="3" t="str">
        <f>'Biodiversity Assessment'!AK134</f>
        <v>?</v>
      </c>
      <c r="AQ125" s="3" t="str">
        <f>'Biodiversity Assessment'!AL134</f>
        <v>?</v>
      </c>
      <c r="AR125" s="3" t="str">
        <f>'Biodiversity Assessment'!AM134</f>
        <v>?</v>
      </c>
      <c r="AS125" s="3" t="str">
        <f>'Biodiversity Assessment'!AN134</f>
        <v>?</v>
      </c>
      <c r="AT125" s="3" t="str">
        <f>'Biodiversity Assessment'!AO134</f>
        <v>?</v>
      </c>
      <c r="AU125" s="3" t="str">
        <f>'Biodiversity Assessment'!AP134</f>
        <v>?</v>
      </c>
      <c r="AV125" s="3" t="str">
        <f>'Biodiversity Assessment'!AQ134</f>
        <v>?</v>
      </c>
      <c r="AW125" s="3" t="str">
        <f>'Biodiversity Assessment'!AR134</f>
        <v>?</v>
      </c>
      <c r="AX125" s="3" t="str">
        <f>'Biodiversity Assessment'!AS134</f>
        <v>?</v>
      </c>
      <c r="AY125" s="3" t="str">
        <f>'Biodiversity Assessment'!AT134</f>
        <v>?</v>
      </c>
      <c r="AZ125" s="3" t="str">
        <f>'Biodiversity Assessment'!AU134</f>
        <v>?</v>
      </c>
      <c r="BA125" s="3" t="str">
        <f>'Biodiversity Assessment'!AV134</f>
        <v>?</v>
      </c>
      <c r="BB125" s="3" t="str">
        <f>'Biodiversity Assessment'!AW134</f>
        <v>?</v>
      </c>
      <c r="BC125" s="3" t="str">
        <f>'Biodiversity Assessment'!AX134</f>
        <v>?</v>
      </c>
      <c r="BD125" s="3" t="str">
        <f>'Biodiversity Assessment'!AY134</f>
        <v>?</v>
      </c>
      <c r="BE125" s="3" t="str">
        <f>'Biodiversity Assessment'!AZ134</f>
        <v>?</v>
      </c>
      <c r="BF125" s="3" t="str">
        <f>'Biodiversity Assessment'!BA134</f>
        <v>?</v>
      </c>
    </row>
    <row r="126" spans="2:58" x14ac:dyDescent="0.25">
      <c r="B126" s="71"/>
      <c r="C126" s="71"/>
      <c r="W126" s="3">
        <v>46</v>
      </c>
      <c r="X126" s="3">
        <v>1</v>
      </c>
      <c r="AC126" s="3" t="str">
        <f>'Biodiversity Assessment'!X135</f>
        <v>?</v>
      </c>
      <c r="AD126" s="3" t="str">
        <f>'Biodiversity Assessment'!Y135</f>
        <v>?</v>
      </c>
      <c r="AE126" s="3" t="str">
        <f>'Biodiversity Assessment'!Z135</f>
        <v>?</v>
      </c>
      <c r="AF126" s="3" t="str">
        <f>'Biodiversity Assessment'!AA135</f>
        <v>?</v>
      </c>
      <c r="AG126" s="3" t="str">
        <f>'Biodiversity Assessment'!AB135</f>
        <v>?</v>
      </c>
      <c r="AH126" s="3" t="str">
        <f>'Biodiversity Assessment'!AC135</f>
        <v>?</v>
      </c>
      <c r="AI126" s="3" t="str">
        <f>'Biodiversity Assessment'!AD135</f>
        <v>?</v>
      </c>
      <c r="AJ126" s="3" t="str">
        <f>'Biodiversity Assessment'!AE135</f>
        <v>?</v>
      </c>
      <c r="AK126" s="3" t="str">
        <f>'Biodiversity Assessment'!AF135</f>
        <v>?</v>
      </c>
      <c r="AL126" s="3" t="str">
        <f>'Biodiversity Assessment'!AG135</f>
        <v>?</v>
      </c>
      <c r="AM126" s="3" t="str">
        <f>'Biodiversity Assessment'!AH135</f>
        <v>?</v>
      </c>
      <c r="AN126" s="3" t="str">
        <f>'Biodiversity Assessment'!AI135</f>
        <v>?</v>
      </c>
      <c r="AO126" s="3" t="str">
        <f>'Biodiversity Assessment'!AJ135</f>
        <v>?</v>
      </c>
      <c r="AP126" s="3" t="str">
        <f>'Biodiversity Assessment'!AK135</f>
        <v>?</v>
      </c>
      <c r="AQ126" s="3" t="str">
        <f>'Biodiversity Assessment'!AL135</f>
        <v>?</v>
      </c>
      <c r="AR126" s="3" t="str">
        <f>'Biodiversity Assessment'!AM135</f>
        <v>?</v>
      </c>
      <c r="AS126" s="3" t="str">
        <f>'Biodiversity Assessment'!AN135</f>
        <v>?</v>
      </c>
      <c r="AT126" s="3" t="str">
        <f>'Biodiversity Assessment'!AO135</f>
        <v>?</v>
      </c>
      <c r="AU126" s="3" t="str">
        <f>'Biodiversity Assessment'!AP135</f>
        <v>?</v>
      </c>
      <c r="AV126" s="3" t="str">
        <f>'Biodiversity Assessment'!AQ135</f>
        <v>?</v>
      </c>
      <c r="AW126" s="3" t="str">
        <f>'Biodiversity Assessment'!AR135</f>
        <v>?</v>
      </c>
      <c r="AX126" s="3" t="str">
        <f>'Biodiversity Assessment'!AS135</f>
        <v>?</v>
      </c>
      <c r="AY126" s="3" t="str">
        <f>'Biodiversity Assessment'!AT135</f>
        <v>?</v>
      </c>
      <c r="AZ126" s="3" t="str">
        <f>'Biodiversity Assessment'!AU135</f>
        <v>?</v>
      </c>
      <c r="BA126" s="3" t="str">
        <f>'Biodiversity Assessment'!AV135</f>
        <v>?</v>
      </c>
      <c r="BB126" s="3" t="str">
        <f>'Biodiversity Assessment'!AW135</f>
        <v>?</v>
      </c>
      <c r="BC126" s="3" t="str">
        <f>'Biodiversity Assessment'!AX135</f>
        <v>?</v>
      </c>
      <c r="BD126" s="3" t="str">
        <f>'Biodiversity Assessment'!AY135</f>
        <v>?</v>
      </c>
      <c r="BE126" s="3" t="str">
        <f>'Biodiversity Assessment'!AZ135</f>
        <v>?</v>
      </c>
      <c r="BF126" s="3" t="str">
        <f>'Biodiversity Assessment'!BA135</f>
        <v>?</v>
      </c>
    </row>
    <row r="127" spans="2:58" x14ac:dyDescent="0.25">
      <c r="B127" s="71"/>
      <c r="C127" s="71"/>
      <c r="W127" s="3">
        <v>47</v>
      </c>
      <c r="X127" s="3">
        <v>1</v>
      </c>
      <c r="AC127" s="3" t="str">
        <f>'Biodiversity Assessment'!X136</f>
        <v>?</v>
      </c>
      <c r="AD127" s="3" t="str">
        <f>'Biodiversity Assessment'!Y136</f>
        <v>?</v>
      </c>
      <c r="AE127" s="3" t="str">
        <f>'Biodiversity Assessment'!Z136</f>
        <v>?</v>
      </c>
      <c r="AF127" s="3" t="str">
        <f>'Biodiversity Assessment'!AA136</f>
        <v>?</v>
      </c>
      <c r="AG127" s="3" t="str">
        <f>'Biodiversity Assessment'!AB136</f>
        <v>?</v>
      </c>
      <c r="AH127" s="3" t="str">
        <f>'Biodiversity Assessment'!AC136</f>
        <v>?</v>
      </c>
      <c r="AI127" s="3" t="str">
        <f>'Biodiversity Assessment'!AD136</f>
        <v>?</v>
      </c>
      <c r="AJ127" s="3" t="str">
        <f>'Biodiversity Assessment'!AE136</f>
        <v>?</v>
      </c>
      <c r="AK127" s="3" t="str">
        <f>'Biodiversity Assessment'!AF136</f>
        <v>?</v>
      </c>
      <c r="AL127" s="3" t="str">
        <f>'Biodiversity Assessment'!AG136</f>
        <v>?</v>
      </c>
      <c r="AM127" s="3" t="str">
        <f>'Biodiversity Assessment'!AH136</f>
        <v>?</v>
      </c>
      <c r="AN127" s="3" t="str">
        <f>'Biodiversity Assessment'!AI136</f>
        <v>?</v>
      </c>
      <c r="AO127" s="3" t="str">
        <f>'Biodiversity Assessment'!AJ136</f>
        <v>?</v>
      </c>
      <c r="AP127" s="3" t="str">
        <f>'Biodiversity Assessment'!AK136</f>
        <v>?</v>
      </c>
      <c r="AQ127" s="3" t="str">
        <f>'Biodiversity Assessment'!AL136</f>
        <v>?</v>
      </c>
      <c r="AR127" s="3" t="str">
        <f>'Biodiversity Assessment'!AM136</f>
        <v>?</v>
      </c>
      <c r="AS127" s="3" t="str">
        <f>'Biodiversity Assessment'!AN136</f>
        <v>?</v>
      </c>
      <c r="AT127" s="3" t="str">
        <f>'Biodiversity Assessment'!AO136</f>
        <v>?</v>
      </c>
      <c r="AU127" s="3" t="str">
        <f>'Biodiversity Assessment'!AP136</f>
        <v>?</v>
      </c>
      <c r="AV127" s="3" t="str">
        <f>'Biodiversity Assessment'!AQ136</f>
        <v>?</v>
      </c>
      <c r="AW127" s="3" t="str">
        <f>'Biodiversity Assessment'!AR136</f>
        <v>?</v>
      </c>
      <c r="AX127" s="3" t="str">
        <f>'Biodiversity Assessment'!AS136</f>
        <v>?</v>
      </c>
      <c r="AY127" s="3" t="str">
        <f>'Biodiversity Assessment'!AT136</f>
        <v>?</v>
      </c>
      <c r="AZ127" s="3" t="str">
        <f>'Biodiversity Assessment'!AU136</f>
        <v>?</v>
      </c>
      <c r="BA127" s="3" t="str">
        <f>'Biodiversity Assessment'!AV136</f>
        <v>?</v>
      </c>
      <c r="BB127" s="3" t="str">
        <f>'Biodiversity Assessment'!AW136</f>
        <v>?</v>
      </c>
      <c r="BC127" s="3" t="str">
        <f>'Biodiversity Assessment'!AX136</f>
        <v>?</v>
      </c>
      <c r="BD127" s="3" t="str">
        <f>'Biodiversity Assessment'!AY136</f>
        <v>?</v>
      </c>
      <c r="BE127" s="3" t="str">
        <f>'Biodiversity Assessment'!AZ136</f>
        <v>?</v>
      </c>
      <c r="BF127" s="3" t="str">
        <f>'Biodiversity Assessment'!BA136</f>
        <v>?</v>
      </c>
    </row>
    <row r="128" spans="2:58" x14ac:dyDescent="0.25">
      <c r="B128" s="71"/>
      <c r="C128" s="71"/>
      <c r="W128" s="3">
        <v>48</v>
      </c>
      <c r="X128" s="3">
        <v>1</v>
      </c>
      <c r="AC128" s="3" t="str">
        <f>'Biodiversity Assessment'!X137</f>
        <v>?</v>
      </c>
      <c r="AD128" s="3" t="str">
        <f>'Biodiversity Assessment'!Y137</f>
        <v>?</v>
      </c>
      <c r="AE128" s="3" t="str">
        <f>'Biodiversity Assessment'!Z137</f>
        <v>?</v>
      </c>
      <c r="AF128" s="3" t="str">
        <f>'Biodiversity Assessment'!AA137</f>
        <v>?</v>
      </c>
      <c r="AG128" s="3" t="str">
        <f>'Biodiversity Assessment'!AB137</f>
        <v>?</v>
      </c>
      <c r="AH128" s="3" t="str">
        <f>'Biodiversity Assessment'!AC137</f>
        <v>?</v>
      </c>
      <c r="AI128" s="3" t="str">
        <f>'Biodiversity Assessment'!AD137</f>
        <v>?</v>
      </c>
      <c r="AJ128" s="3" t="str">
        <f>'Biodiversity Assessment'!AE137</f>
        <v>?</v>
      </c>
      <c r="AK128" s="3" t="str">
        <f>'Biodiversity Assessment'!AF137</f>
        <v>?</v>
      </c>
      <c r="AL128" s="3" t="str">
        <f>'Biodiversity Assessment'!AG137</f>
        <v>?</v>
      </c>
      <c r="AM128" s="3" t="str">
        <f>'Biodiversity Assessment'!AH137</f>
        <v>?</v>
      </c>
      <c r="AN128" s="3" t="str">
        <f>'Biodiversity Assessment'!AI137</f>
        <v>?</v>
      </c>
      <c r="AO128" s="3" t="str">
        <f>'Biodiversity Assessment'!AJ137</f>
        <v>?</v>
      </c>
      <c r="AP128" s="3" t="str">
        <f>'Biodiversity Assessment'!AK137</f>
        <v>?</v>
      </c>
      <c r="AQ128" s="3" t="str">
        <f>'Biodiversity Assessment'!AL137</f>
        <v>?</v>
      </c>
      <c r="AR128" s="3" t="str">
        <f>'Biodiversity Assessment'!AM137</f>
        <v>?</v>
      </c>
      <c r="AS128" s="3" t="str">
        <f>'Biodiversity Assessment'!AN137</f>
        <v>?</v>
      </c>
      <c r="AT128" s="3" t="str">
        <f>'Biodiversity Assessment'!AO137</f>
        <v>?</v>
      </c>
      <c r="AU128" s="3" t="str">
        <f>'Biodiversity Assessment'!AP137</f>
        <v>?</v>
      </c>
      <c r="AV128" s="3" t="str">
        <f>'Biodiversity Assessment'!AQ137</f>
        <v>?</v>
      </c>
      <c r="AW128" s="3" t="str">
        <f>'Biodiversity Assessment'!AR137</f>
        <v>?</v>
      </c>
      <c r="AX128" s="3" t="str">
        <f>'Biodiversity Assessment'!AS137</f>
        <v>?</v>
      </c>
      <c r="AY128" s="3" t="str">
        <f>'Biodiversity Assessment'!AT137</f>
        <v>?</v>
      </c>
      <c r="AZ128" s="3" t="str">
        <f>'Biodiversity Assessment'!AU137</f>
        <v>?</v>
      </c>
      <c r="BA128" s="3" t="str">
        <f>'Biodiversity Assessment'!AV137</f>
        <v>?</v>
      </c>
      <c r="BB128" s="3" t="str">
        <f>'Biodiversity Assessment'!AW137</f>
        <v>?</v>
      </c>
      <c r="BC128" s="3" t="str">
        <f>'Biodiversity Assessment'!AX137</f>
        <v>?</v>
      </c>
      <c r="BD128" s="3" t="str">
        <f>'Biodiversity Assessment'!AY137</f>
        <v>?</v>
      </c>
      <c r="BE128" s="3" t="str">
        <f>'Biodiversity Assessment'!AZ137</f>
        <v>?</v>
      </c>
      <c r="BF128" s="3" t="str">
        <f>'Biodiversity Assessment'!BA137</f>
        <v>?</v>
      </c>
    </row>
    <row r="129" spans="2:58" x14ac:dyDescent="0.25">
      <c r="B129" s="71"/>
      <c r="C129" s="71"/>
      <c r="W129" s="3">
        <v>49</v>
      </c>
      <c r="X129" s="3">
        <v>1</v>
      </c>
      <c r="AC129" s="3" t="str">
        <f>'Biodiversity Assessment'!X138</f>
        <v>?</v>
      </c>
      <c r="AD129" s="3" t="str">
        <f>'Biodiversity Assessment'!Y138</f>
        <v>?</v>
      </c>
      <c r="AE129" s="3" t="str">
        <f>'Biodiversity Assessment'!Z138</f>
        <v>?</v>
      </c>
      <c r="AF129" s="3" t="str">
        <f>'Biodiversity Assessment'!AA138</f>
        <v>?</v>
      </c>
      <c r="AG129" s="3" t="str">
        <f>'Biodiversity Assessment'!AB138</f>
        <v>?</v>
      </c>
      <c r="AH129" s="3" t="str">
        <f>'Biodiversity Assessment'!AC138</f>
        <v>?</v>
      </c>
      <c r="AI129" s="3" t="str">
        <f>'Biodiversity Assessment'!AD138</f>
        <v>?</v>
      </c>
      <c r="AJ129" s="3" t="str">
        <f>'Biodiversity Assessment'!AE138</f>
        <v>?</v>
      </c>
      <c r="AK129" s="3" t="str">
        <f>'Biodiversity Assessment'!AF138</f>
        <v>?</v>
      </c>
      <c r="AL129" s="3" t="str">
        <f>'Biodiversity Assessment'!AG138</f>
        <v>?</v>
      </c>
      <c r="AM129" s="3" t="str">
        <f>'Biodiversity Assessment'!AH138</f>
        <v>?</v>
      </c>
      <c r="AN129" s="3" t="str">
        <f>'Biodiversity Assessment'!AI138</f>
        <v>?</v>
      </c>
      <c r="AO129" s="3" t="str">
        <f>'Biodiversity Assessment'!AJ138</f>
        <v>?</v>
      </c>
      <c r="AP129" s="3" t="str">
        <f>'Biodiversity Assessment'!AK138</f>
        <v>?</v>
      </c>
      <c r="AQ129" s="3" t="str">
        <f>'Biodiversity Assessment'!AL138</f>
        <v>?</v>
      </c>
      <c r="AR129" s="3" t="str">
        <f>'Biodiversity Assessment'!AM138</f>
        <v>?</v>
      </c>
      <c r="AS129" s="3" t="str">
        <f>'Biodiversity Assessment'!AN138</f>
        <v>?</v>
      </c>
      <c r="AT129" s="3" t="str">
        <f>'Biodiversity Assessment'!AO138</f>
        <v>?</v>
      </c>
      <c r="AU129" s="3" t="str">
        <f>'Biodiversity Assessment'!AP138</f>
        <v>?</v>
      </c>
      <c r="AV129" s="3" t="str">
        <f>'Biodiversity Assessment'!AQ138</f>
        <v>?</v>
      </c>
      <c r="AW129" s="3" t="str">
        <f>'Biodiversity Assessment'!AR138</f>
        <v>?</v>
      </c>
      <c r="AX129" s="3" t="str">
        <f>'Biodiversity Assessment'!AS138</f>
        <v>?</v>
      </c>
      <c r="AY129" s="3" t="str">
        <f>'Biodiversity Assessment'!AT138</f>
        <v>?</v>
      </c>
      <c r="AZ129" s="3" t="str">
        <f>'Biodiversity Assessment'!AU138</f>
        <v>?</v>
      </c>
      <c r="BA129" s="3" t="str">
        <f>'Biodiversity Assessment'!AV138</f>
        <v>?</v>
      </c>
      <c r="BB129" s="3" t="str">
        <f>'Biodiversity Assessment'!AW138</f>
        <v>?</v>
      </c>
      <c r="BC129" s="3" t="str">
        <f>'Biodiversity Assessment'!AX138</f>
        <v>?</v>
      </c>
      <c r="BD129" s="3" t="str">
        <f>'Biodiversity Assessment'!AY138</f>
        <v>?</v>
      </c>
      <c r="BE129" s="3" t="str">
        <f>'Biodiversity Assessment'!AZ138</f>
        <v>?</v>
      </c>
      <c r="BF129" s="3" t="str">
        <f>'Biodiversity Assessment'!BA138</f>
        <v>?</v>
      </c>
    </row>
    <row r="130" spans="2:58" x14ac:dyDescent="0.25">
      <c r="B130" s="71"/>
      <c r="C130" s="71"/>
      <c r="W130" s="3">
        <v>50</v>
      </c>
      <c r="X130" s="3">
        <v>1</v>
      </c>
      <c r="AC130" s="3" t="str">
        <f>'Biodiversity Assessment'!X139</f>
        <v>?</v>
      </c>
      <c r="AD130" s="3" t="str">
        <f>'Biodiversity Assessment'!Y139</f>
        <v>?</v>
      </c>
      <c r="AE130" s="3" t="str">
        <f>'Biodiversity Assessment'!Z139</f>
        <v>?</v>
      </c>
      <c r="AF130" s="3" t="str">
        <f>'Biodiversity Assessment'!AA139</f>
        <v>?</v>
      </c>
      <c r="AG130" s="3" t="str">
        <f>'Biodiversity Assessment'!AB139</f>
        <v>?</v>
      </c>
      <c r="AH130" s="3" t="str">
        <f>'Biodiversity Assessment'!AC139</f>
        <v>?</v>
      </c>
      <c r="AI130" s="3" t="str">
        <f>'Biodiversity Assessment'!AD139</f>
        <v>?</v>
      </c>
      <c r="AJ130" s="3" t="str">
        <f>'Biodiversity Assessment'!AE139</f>
        <v>?</v>
      </c>
      <c r="AK130" s="3" t="str">
        <f>'Biodiversity Assessment'!AF139</f>
        <v>?</v>
      </c>
      <c r="AL130" s="3" t="str">
        <f>'Biodiversity Assessment'!AG139</f>
        <v>?</v>
      </c>
      <c r="AM130" s="3" t="str">
        <f>'Biodiversity Assessment'!AH139</f>
        <v>?</v>
      </c>
      <c r="AN130" s="3" t="str">
        <f>'Biodiversity Assessment'!AI139</f>
        <v>?</v>
      </c>
      <c r="AO130" s="3" t="str">
        <f>'Biodiversity Assessment'!AJ139</f>
        <v>?</v>
      </c>
      <c r="AP130" s="3" t="str">
        <f>'Biodiversity Assessment'!AK139</f>
        <v>?</v>
      </c>
      <c r="AQ130" s="3" t="str">
        <f>'Biodiversity Assessment'!AL139</f>
        <v>?</v>
      </c>
      <c r="AR130" s="3" t="str">
        <f>'Biodiversity Assessment'!AM139</f>
        <v>?</v>
      </c>
      <c r="AS130" s="3" t="str">
        <f>'Biodiversity Assessment'!AN139</f>
        <v>?</v>
      </c>
      <c r="AT130" s="3" t="str">
        <f>'Biodiversity Assessment'!AO139</f>
        <v>?</v>
      </c>
      <c r="AU130" s="3" t="str">
        <f>'Biodiversity Assessment'!AP139</f>
        <v>?</v>
      </c>
      <c r="AV130" s="3" t="str">
        <f>'Biodiversity Assessment'!AQ139</f>
        <v>?</v>
      </c>
      <c r="AW130" s="3" t="str">
        <f>'Biodiversity Assessment'!AR139</f>
        <v>?</v>
      </c>
      <c r="AX130" s="3" t="str">
        <f>'Biodiversity Assessment'!AS139</f>
        <v>?</v>
      </c>
      <c r="AY130" s="3" t="str">
        <f>'Biodiversity Assessment'!AT139</f>
        <v>?</v>
      </c>
      <c r="AZ130" s="3" t="str">
        <f>'Biodiversity Assessment'!AU139</f>
        <v>?</v>
      </c>
      <c r="BA130" s="3" t="str">
        <f>'Biodiversity Assessment'!AV139</f>
        <v>?</v>
      </c>
      <c r="BB130" s="3" t="str">
        <f>'Biodiversity Assessment'!AW139</f>
        <v>?</v>
      </c>
      <c r="BC130" s="3" t="str">
        <f>'Biodiversity Assessment'!AX139</f>
        <v>?</v>
      </c>
      <c r="BD130" s="3" t="str">
        <f>'Biodiversity Assessment'!AY139</f>
        <v>?</v>
      </c>
      <c r="BE130" s="3" t="str">
        <f>'Biodiversity Assessment'!AZ139</f>
        <v>?</v>
      </c>
      <c r="BF130" s="3" t="str">
        <f>'Biodiversity Assessment'!BA139</f>
        <v>?</v>
      </c>
    </row>
    <row r="131" spans="2:58" x14ac:dyDescent="0.25">
      <c r="B131" s="71"/>
      <c r="C131" s="71"/>
      <c r="W131" s="3">
        <v>51</v>
      </c>
      <c r="X131" s="3">
        <v>1</v>
      </c>
      <c r="AC131" s="3" t="str">
        <f>'Biodiversity Assessment'!X140</f>
        <v>?</v>
      </c>
      <c r="AD131" s="3" t="str">
        <f>'Biodiversity Assessment'!Y140</f>
        <v>?</v>
      </c>
      <c r="AE131" s="3" t="str">
        <f>'Biodiversity Assessment'!Z140</f>
        <v>?</v>
      </c>
      <c r="AF131" s="3" t="str">
        <f>'Biodiversity Assessment'!AA140</f>
        <v>?</v>
      </c>
      <c r="AG131" s="3" t="str">
        <f>'Biodiversity Assessment'!AB140</f>
        <v>?</v>
      </c>
      <c r="AH131" s="3" t="str">
        <f>'Biodiversity Assessment'!AC140</f>
        <v>?</v>
      </c>
      <c r="AI131" s="3" t="str">
        <f>'Biodiversity Assessment'!AD140</f>
        <v>?</v>
      </c>
      <c r="AJ131" s="3" t="str">
        <f>'Biodiversity Assessment'!AE140</f>
        <v>?</v>
      </c>
      <c r="AK131" s="3" t="str">
        <f>'Biodiversity Assessment'!AF140</f>
        <v>?</v>
      </c>
      <c r="AL131" s="3" t="str">
        <f>'Biodiversity Assessment'!AG140</f>
        <v>?</v>
      </c>
      <c r="AM131" s="3" t="str">
        <f>'Biodiversity Assessment'!AH140</f>
        <v>?</v>
      </c>
      <c r="AN131" s="3" t="str">
        <f>'Biodiversity Assessment'!AI140</f>
        <v>?</v>
      </c>
      <c r="AO131" s="3" t="str">
        <f>'Biodiversity Assessment'!AJ140</f>
        <v>?</v>
      </c>
      <c r="AP131" s="3" t="str">
        <f>'Biodiversity Assessment'!AK140</f>
        <v>?</v>
      </c>
      <c r="AQ131" s="3" t="str">
        <f>'Biodiversity Assessment'!AL140</f>
        <v>?</v>
      </c>
      <c r="AR131" s="3" t="str">
        <f>'Biodiversity Assessment'!AM140</f>
        <v>?</v>
      </c>
      <c r="AS131" s="3" t="str">
        <f>'Biodiversity Assessment'!AN140</f>
        <v>?</v>
      </c>
      <c r="AT131" s="3" t="str">
        <f>'Biodiversity Assessment'!AO140</f>
        <v>?</v>
      </c>
      <c r="AU131" s="3" t="str">
        <f>'Biodiversity Assessment'!AP140</f>
        <v>?</v>
      </c>
      <c r="AV131" s="3" t="str">
        <f>'Biodiversity Assessment'!AQ140</f>
        <v>?</v>
      </c>
      <c r="AW131" s="3" t="str">
        <f>'Biodiversity Assessment'!AR140</f>
        <v>?</v>
      </c>
      <c r="AX131" s="3" t="str">
        <f>'Biodiversity Assessment'!AS140</f>
        <v>?</v>
      </c>
      <c r="AY131" s="3" t="str">
        <f>'Biodiversity Assessment'!AT140</f>
        <v>?</v>
      </c>
      <c r="AZ131" s="3" t="str">
        <f>'Biodiversity Assessment'!AU140</f>
        <v>?</v>
      </c>
      <c r="BA131" s="3" t="str">
        <f>'Biodiversity Assessment'!AV140</f>
        <v>?</v>
      </c>
      <c r="BB131" s="3" t="str">
        <f>'Biodiversity Assessment'!AW140</f>
        <v>?</v>
      </c>
      <c r="BC131" s="3" t="str">
        <f>'Biodiversity Assessment'!AX140</f>
        <v>?</v>
      </c>
      <c r="BD131" s="3" t="str">
        <f>'Biodiversity Assessment'!AY140</f>
        <v>?</v>
      </c>
      <c r="BE131" s="3" t="str">
        <f>'Biodiversity Assessment'!AZ140</f>
        <v>?</v>
      </c>
      <c r="BF131" s="3" t="str">
        <f>'Biodiversity Assessment'!BA140</f>
        <v>?</v>
      </c>
    </row>
    <row r="132" spans="2:58" x14ac:dyDescent="0.25">
      <c r="B132" s="71"/>
      <c r="C132" s="71"/>
      <c r="W132" s="3">
        <v>52</v>
      </c>
      <c r="X132" s="3">
        <v>1</v>
      </c>
      <c r="AC132" s="3" t="str">
        <f>'Biodiversity Assessment'!X141</f>
        <v>?</v>
      </c>
      <c r="AD132" s="3" t="str">
        <f>'Biodiversity Assessment'!Y141</f>
        <v>?</v>
      </c>
      <c r="AE132" s="3" t="str">
        <f>'Biodiversity Assessment'!Z141</f>
        <v>?</v>
      </c>
      <c r="AF132" s="3" t="str">
        <f>'Biodiversity Assessment'!AA141</f>
        <v>?</v>
      </c>
      <c r="AG132" s="3" t="str">
        <f>'Biodiversity Assessment'!AB141</f>
        <v>?</v>
      </c>
      <c r="AH132" s="3" t="str">
        <f>'Biodiversity Assessment'!AC141</f>
        <v>?</v>
      </c>
      <c r="AI132" s="3" t="str">
        <f>'Biodiversity Assessment'!AD141</f>
        <v>?</v>
      </c>
      <c r="AJ132" s="3" t="str">
        <f>'Biodiversity Assessment'!AE141</f>
        <v>?</v>
      </c>
      <c r="AK132" s="3" t="str">
        <f>'Biodiversity Assessment'!AF141</f>
        <v>?</v>
      </c>
      <c r="AL132" s="3" t="str">
        <f>'Biodiversity Assessment'!AG141</f>
        <v>?</v>
      </c>
      <c r="AM132" s="3" t="str">
        <f>'Biodiversity Assessment'!AH141</f>
        <v>?</v>
      </c>
      <c r="AN132" s="3" t="str">
        <f>'Biodiversity Assessment'!AI141</f>
        <v>?</v>
      </c>
      <c r="AO132" s="3" t="str">
        <f>'Biodiversity Assessment'!AJ141</f>
        <v>?</v>
      </c>
      <c r="AP132" s="3" t="str">
        <f>'Biodiversity Assessment'!AK141</f>
        <v>?</v>
      </c>
      <c r="AQ132" s="3" t="str">
        <f>'Biodiversity Assessment'!AL141</f>
        <v>?</v>
      </c>
      <c r="AR132" s="3" t="str">
        <f>'Biodiversity Assessment'!AM141</f>
        <v>?</v>
      </c>
      <c r="AS132" s="3" t="str">
        <f>'Biodiversity Assessment'!AN141</f>
        <v>?</v>
      </c>
      <c r="AT132" s="3" t="str">
        <f>'Biodiversity Assessment'!AO141</f>
        <v>?</v>
      </c>
      <c r="AU132" s="3" t="str">
        <f>'Biodiversity Assessment'!AP141</f>
        <v>?</v>
      </c>
      <c r="AV132" s="3" t="str">
        <f>'Biodiversity Assessment'!AQ141</f>
        <v>?</v>
      </c>
      <c r="AW132" s="3" t="str">
        <f>'Biodiversity Assessment'!AR141</f>
        <v>?</v>
      </c>
      <c r="AX132" s="3" t="str">
        <f>'Biodiversity Assessment'!AS141</f>
        <v>?</v>
      </c>
      <c r="AY132" s="3" t="str">
        <f>'Biodiversity Assessment'!AT141</f>
        <v>?</v>
      </c>
      <c r="AZ132" s="3" t="str">
        <f>'Biodiversity Assessment'!AU141</f>
        <v>?</v>
      </c>
      <c r="BA132" s="3" t="str">
        <f>'Biodiversity Assessment'!AV141</f>
        <v>?</v>
      </c>
      <c r="BB132" s="3" t="str">
        <f>'Biodiversity Assessment'!AW141</f>
        <v>?</v>
      </c>
      <c r="BC132" s="3" t="str">
        <f>'Biodiversity Assessment'!AX141</f>
        <v>?</v>
      </c>
      <c r="BD132" s="3" t="str">
        <f>'Biodiversity Assessment'!AY141</f>
        <v>?</v>
      </c>
      <c r="BE132" s="3" t="str">
        <f>'Biodiversity Assessment'!AZ141</f>
        <v>?</v>
      </c>
      <c r="BF132" s="3" t="str">
        <f>'Biodiversity Assessment'!BA141</f>
        <v>?</v>
      </c>
    </row>
    <row r="133" spans="2:58" x14ac:dyDescent="0.25">
      <c r="B133" s="71"/>
      <c r="C133" s="71"/>
      <c r="W133" s="3">
        <v>53</v>
      </c>
      <c r="X133" s="3">
        <v>1</v>
      </c>
      <c r="AC133" s="3" t="str">
        <f>'Biodiversity Assessment'!X142</f>
        <v>?</v>
      </c>
      <c r="AD133" s="3" t="str">
        <f>'Biodiversity Assessment'!Y142</f>
        <v>?</v>
      </c>
      <c r="AE133" s="3" t="str">
        <f>'Biodiversity Assessment'!Z142</f>
        <v>?</v>
      </c>
      <c r="AF133" s="3" t="str">
        <f>'Biodiversity Assessment'!AA142</f>
        <v>?</v>
      </c>
      <c r="AG133" s="3" t="str">
        <f>'Biodiversity Assessment'!AB142</f>
        <v>?</v>
      </c>
      <c r="AH133" s="3" t="str">
        <f>'Biodiversity Assessment'!AC142</f>
        <v>?</v>
      </c>
      <c r="AI133" s="3" t="str">
        <f>'Biodiversity Assessment'!AD142</f>
        <v>?</v>
      </c>
      <c r="AJ133" s="3" t="str">
        <f>'Biodiversity Assessment'!AE142</f>
        <v>?</v>
      </c>
      <c r="AK133" s="3" t="str">
        <f>'Biodiversity Assessment'!AF142</f>
        <v>?</v>
      </c>
      <c r="AL133" s="3" t="str">
        <f>'Biodiversity Assessment'!AG142</f>
        <v>?</v>
      </c>
      <c r="AM133" s="3" t="str">
        <f>'Biodiversity Assessment'!AH142</f>
        <v>?</v>
      </c>
      <c r="AN133" s="3" t="str">
        <f>'Biodiversity Assessment'!AI142</f>
        <v>?</v>
      </c>
      <c r="AO133" s="3" t="str">
        <f>'Biodiversity Assessment'!AJ142</f>
        <v>?</v>
      </c>
      <c r="AP133" s="3" t="str">
        <f>'Biodiversity Assessment'!AK142</f>
        <v>?</v>
      </c>
      <c r="AQ133" s="3" t="str">
        <f>'Biodiversity Assessment'!AL142</f>
        <v>?</v>
      </c>
      <c r="AR133" s="3" t="str">
        <f>'Biodiversity Assessment'!AM142</f>
        <v>?</v>
      </c>
      <c r="AS133" s="3" t="str">
        <f>'Biodiversity Assessment'!AN142</f>
        <v>?</v>
      </c>
      <c r="AT133" s="3" t="str">
        <f>'Biodiversity Assessment'!AO142</f>
        <v>?</v>
      </c>
      <c r="AU133" s="3" t="str">
        <f>'Biodiversity Assessment'!AP142</f>
        <v>?</v>
      </c>
      <c r="AV133" s="3" t="str">
        <f>'Biodiversity Assessment'!AQ142</f>
        <v>?</v>
      </c>
      <c r="AW133" s="3" t="str">
        <f>'Biodiversity Assessment'!AR142</f>
        <v>?</v>
      </c>
      <c r="AX133" s="3" t="str">
        <f>'Biodiversity Assessment'!AS142</f>
        <v>?</v>
      </c>
      <c r="AY133" s="3" t="str">
        <f>'Biodiversity Assessment'!AT142</f>
        <v>?</v>
      </c>
      <c r="AZ133" s="3" t="str">
        <f>'Biodiversity Assessment'!AU142</f>
        <v>?</v>
      </c>
      <c r="BA133" s="3" t="str">
        <f>'Biodiversity Assessment'!AV142</f>
        <v>?</v>
      </c>
      <c r="BB133" s="3" t="str">
        <f>'Biodiversity Assessment'!AW142</f>
        <v>?</v>
      </c>
      <c r="BC133" s="3" t="str">
        <f>'Biodiversity Assessment'!AX142</f>
        <v>?</v>
      </c>
      <c r="BD133" s="3" t="str">
        <f>'Biodiversity Assessment'!AY142</f>
        <v>?</v>
      </c>
      <c r="BE133" s="3" t="str">
        <f>'Biodiversity Assessment'!AZ142</f>
        <v>?</v>
      </c>
      <c r="BF133" s="3" t="str">
        <f>'Biodiversity Assessment'!BA142</f>
        <v>?</v>
      </c>
    </row>
    <row r="134" spans="2:58" x14ac:dyDescent="0.25">
      <c r="B134" s="71"/>
      <c r="C134" s="71"/>
      <c r="W134" s="3">
        <v>54</v>
      </c>
      <c r="X134" s="3">
        <v>1</v>
      </c>
    </row>
    <row r="135" spans="2:58" x14ac:dyDescent="0.25">
      <c r="B135" s="71"/>
      <c r="C135" s="71"/>
      <c r="W135" s="3">
        <v>55</v>
      </c>
      <c r="X135" s="3">
        <v>1</v>
      </c>
    </row>
    <row r="136" spans="2:58" x14ac:dyDescent="0.25">
      <c r="B136" s="71"/>
      <c r="C136" s="71"/>
      <c r="W136" s="3">
        <v>56</v>
      </c>
      <c r="X136" s="3">
        <v>1</v>
      </c>
    </row>
    <row r="137" spans="2:58" x14ac:dyDescent="0.25">
      <c r="B137" s="71"/>
      <c r="C137" s="71"/>
      <c r="W137" s="3">
        <v>57</v>
      </c>
      <c r="X137" s="3">
        <v>1</v>
      </c>
    </row>
    <row r="138" spans="2:58" x14ac:dyDescent="0.25">
      <c r="B138" s="71"/>
      <c r="C138" s="71"/>
      <c r="W138" s="3">
        <v>58</v>
      </c>
      <c r="X138" s="3">
        <v>1</v>
      </c>
    </row>
    <row r="139" spans="2:58" x14ac:dyDescent="0.25">
      <c r="B139" s="71"/>
      <c r="C139" s="71"/>
      <c r="W139" s="3">
        <v>59</v>
      </c>
      <c r="X139" s="3">
        <v>1</v>
      </c>
    </row>
    <row r="140" spans="2:58" x14ac:dyDescent="0.25">
      <c r="B140" s="71"/>
      <c r="C140" s="71"/>
      <c r="W140" s="3">
        <v>60</v>
      </c>
      <c r="X140" s="3">
        <v>1</v>
      </c>
    </row>
    <row r="141" spans="2:58" x14ac:dyDescent="0.25">
      <c r="W141" s="3">
        <v>61</v>
      </c>
      <c r="X141" s="3">
        <v>1</v>
      </c>
    </row>
    <row r="142" spans="2:58" x14ac:dyDescent="0.25">
      <c r="W142" s="3">
        <v>62</v>
      </c>
      <c r="X142" s="3">
        <v>1</v>
      </c>
    </row>
    <row r="143" spans="2:58" x14ac:dyDescent="0.25">
      <c r="W143" s="3">
        <v>63</v>
      </c>
      <c r="X143" s="3">
        <v>1</v>
      </c>
    </row>
    <row r="144" spans="2:58" x14ac:dyDescent="0.25">
      <c r="W144" s="3">
        <v>64</v>
      </c>
      <c r="X144" s="3">
        <v>1</v>
      </c>
    </row>
    <row r="145" spans="23:24" x14ac:dyDescent="0.25">
      <c r="W145" s="3">
        <v>65</v>
      </c>
      <c r="X145" s="3">
        <v>1</v>
      </c>
    </row>
    <row r="146" spans="23:24" x14ac:dyDescent="0.25">
      <c r="W146" s="3">
        <v>66</v>
      </c>
      <c r="X146" s="3">
        <v>1</v>
      </c>
    </row>
    <row r="147" spans="23:24" x14ac:dyDescent="0.25">
      <c r="W147" s="3">
        <v>67</v>
      </c>
      <c r="X147" s="3">
        <v>1</v>
      </c>
    </row>
    <row r="148" spans="23:24" x14ac:dyDescent="0.25">
      <c r="W148" s="3">
        <v>68</v>
      </c>
      <c r="X148" s="3">
        <v>1</v>
      </c>
    </row>
    <row r="149" spans="23:24" x14ac:dyDescent="0.25">
      <c r="W149" s="3">
        <v>69</v>
      </c>
      <c r="X149" s="3">
        <v>1</v>
      </c>
    </row>
    <row r="150" spans="23:24" x14ac:dyDescent="0.25">
      <c r="W150" s="3">
        <v>70</v>
      </c>
      <c r="X150" s="3">
        <v>1</v>
      </c>
    </row>
    <row r="151" spans="23:24" x14ac:dyDescent="0.25">
      <c r="W151" s="3">
        <v>71</v>
      </c>
      <c r="X151" s="3">
        <v>1</v>
      </c>
    </row>
    <row r="152" spans="23:24" x14ac:dyDescent="0.25">
      <c r="W152" s="3">
        <v>72</v>
      </c>
      <c r="X152" s="3">
        <v>1</v>
      </c>
    </row>
    <row r="153" spans="23:24" x14ac:dyDescent="0.25">
      <c r="W153" s="3">
        <v>73</v>
      </c>
      <c r="X153" s="3">
        <v>1</v>
      </c>
    </row>
    <row r="154" spans="23:24" x14ac:dyDescent="0.25">
      <c r="W154" s="3">
        <v>74</v>
      </c>
      <c r="X154" s="3">
        <v>1</v>
      </c>
    </row>
    <row r="155" spans="23:24" x14ac:dyDescent="0.25">
      <c r="W155" s="3">
        <v>75</v>
      </c>
      <c r="X155" s="3">
        <v>1</v>
      </c>
    </row>
    <row r="156" spans="23:24" x14ac:dyDescent="0.25">
      <c r="W156" s="3">
        <v>76</v>
      </c>
      <c r="X156" s="3">
        <v>1</v>
      </c>
    </row>
    <row r="157" spans="23:24" x14ac:dyDescent="0.25">
      <c r="W157" s="3">
        <v>77</v>
      </c>
      <c r="X157" s="3">
        <v>1</v>
      </c>
    </row>
    <row r="158" spans="23:24" x14ac:dyDescent="0.25">
      <c r="W158" s="3">
        <v>78</v>
      </c>
      <c r="X158" s="3">
        <v>1</v>
      </c>
    </row>
    <row r="159" spans="23:24" x14ac:dyDescent="0.25">
      <c r="W159" s="3">
        <v>79</v>
      </c>
      <c r="X159" s="3">
        <v>1</v>
      </c>
    </row>
    <row r="160" spans="23:24" x14ac:dyDescent="0.25">
      <c r="W160" s="3">
        <v>80</v>
      </c>
      <c r="X160" s="3">
        <v>1</v>
      </c>
    </row>
    <row r="161" spans="23:24" x14ac:dyDescent="0.25">
      <c r="W161" s="3">
        <v>81</v>
      </c>
      <c r="X161" s="3">
        <v>1</v>
      </c>
    </row>
    <row r="162" spans="23:24" x14ac:dyDescent="0.25">
      <c r="W162" s="3">
        <v>82</v>
      </c>
      <c r="X162" s="3">
        <v>1</v>
      </c>
    </row>
    <row r="163" spans="23:24" x14ac:dyDescent="0.25">
      <c r="W163" s="3">
        <v>83</v>
      </c>
      <c r="X163" s="3">
        <v>1</v>
      </c>
    </row>
    <row r="164" spans="23:24" x14ac:dyDescent="0.25">
      <c r="W164" s="3">
        <v>84</v>
      </c>
      <c r="X164" s="3">
        <v>1</v>
      </c>
    </row>
    <row r="165" spans="23:24" x14ac:dyDescent="0.25">
      <c r="W165" s="3">
        <v>85</v>
      </c>
      <c r="X165" s="3">
        <v>1</v>
      </c>
    </row>
    <row r="166" spans="23:24" x14ac:dyDescent="0.25">
      <c r="W166" s="3">
        <v>86</v>
      </c>
      <c r="X166" s="3">
        <v>1</v>
      </c>
    </row>
    <row r="167" spans="23:24" x14ac:dyDescent="0.25">
      <c r="W167" s="3">
        <v>87</v>
      </c>
      <c r="X167" s="3">
        <v>1</v>
      </c>
    </row>
    <row r="168" spans="23:24" x14ac:dyDescent="0.25">
      <c r="W168" s="3">
        <v>88</v>
      </c>
      <c r="X168" s="3">
        <v>1</v>
      </c>
    </row>
    <row r="169" spans="23:24" x14ac:dyDescent="0.25">
      <c r="W169" s="3">
        <v>89</v>
      </c>
      <c r="X169" s="3">
        <v>1</v>
      </c>
    </row>
    <row r="170" spans="23:24" x14ac:dyDescent="0.25">
      <c r="W170" s="3">
        <v>90</v>
      </c>
      <c r="X170" s="3">
        <v>1</v>
      </c>
    </row>
    <row r="171" spans="23:24" x14ac:dyDescent="0.25">
      <c r="W171" s="3">
        <v>91</v>
      </c>
      <c r="X171" s="3">
        <v>1</v>
      </c>
    </row>
    <row r="172" spans="23:24" x14ac:dyDescent="0.25">
      <c r="W172" s="3">
        <v>92</v>
      </c>
      <c r="X172" s="3">
        <v>1</v>
      </c>
    </row>
    <row r="173" spans="23:24" x14ac:dyDescent="0.25">
      <c r="W173" s="3">
        <v>93</v>
      </c>
      <c r="X173" s="3">
        <v>1</v>
      </c>
    </row>
    <row r="174" spans="23:24" x14ac:dyDescent="0.25">
      <c r="W174" s="3">
        <v>94</v>
      </c>
      <c r="X174" s="3">
        <v>1</v>
      </c>
    </row>
    <row r="175" spans="23:24" x14ac:dyDescent="0.25">
      <c r="W175" s="3">
        <v>95</v>
      </c>
      <c r="X175" s="3">
        <v>1</v>
      </c>
    </row>
    <row r="176" spans="23:24" x14ac:dyDescent="0.25">
      <c r="W176" s="3">
        <v>96</v>
      </c>
      <c r="X176" s="3">
        <v>1</v>
      </c>
    </row>
    <row r="177" spans="23:24" x14ac:dyDescent="0.25">
      <c r="W177" s="3">
        <v>97</v>
      </c>
      <c r="X177" s="3">
        <v>1</v>
      </c>
    </row>
    <row r="178" spans="23:24" x14ac:dyDescent="0.25">
      <c r="W178" s="3">
        <v>98</v>
      </c>
      <c r="X178" s="3">
        <v>1</v>
      </c>
    </row>
    <row r="179" spans="23:24" x14ac:dyDescent="0.25">
      <c r="W179" s="3">
        <v>99</v>
      </c>
      <c r="X179" s="3">
        <v>1</v>
      </c>
    </row>
    <row r="180" spans="23:24" x14ac:dyDescent="0.25">
      <c r="W180" s="3">
        <v>100</v>
      </c>
      <c r="X180" s="3">
        <v>1</v>
      </c>
    </row>
    <row r="181" spans="23:24" x14ac:dyDescent="0.25">
      <c r="W181" s="3" t="s">
        <v>486</v>
      </c>
      <c r="X181" s="3">
        <v>100</v>
      </c>
    </row>
  </sheetData>
  <mergeCells count="34">
    <mergeCell ref="C8:F8"/>
    <mergeCell ref="G8:H8"/>
    <mergeCell ref="I8:J8"/>
    <mergeCell ref="C9:F9"/>
    <mergeCell ref="O8:P9"/>
    <mergeCell ref="K8:L9"/>
    <mergeCell ref="G48:H48"/>
    <mergeCell ref="G49:H49"/>
    <mergeCell ref="U8:V9"/>
    <mergeCell ref="X8:Y9"/>
    <mergeCell ref="G42:H42"/>
    <mergeCell ref="I42:J42"/>
    <mergeCell ref="K42:L43"/>
    <mergeCell ref="M42:N43"/>
    <mergeCell ref="R42:S43"/>
    <mergeCell ref="G43:H43"/>
    <mergeCell ref="I43:J43"/>
    <mergeCell ref="R49:S50"/>
    <mergeCell ref="M8:N9"/>
    <mergeCell ref="G9:H9"/>
    <mergeCell ref="I9:J9"/>
    <mergeCell ref="R8:S9"/>
    <mergeCell ref="AG9:AI9"/>
    <mergeCell ref="AJ9:AL9"/>
    <mergeCell ref="AG8:AL8"/>
    <mergeCell ref="AC10:AD10"/>
    <mergeCell ref="AA10:AB10"/>
    <mergeCell ref="AA8:AD9"/>
    <mergeCell ref="L79:O79"/>
    <mergeCell ref="Q79:T79"/>
    <mergeCell ref="W79:Z79"/>
    <mergeCell ref="AB79:AE79"/>
    <mergeCell ref="G57:H57"/>
    <mergeCell ref="G58:H58"/>
  </mergeCells>
  <conditionalFormatting sqref="I61:I64">
    <cfRule type="colorScale" priority="1">
      <colorScale>
        <cfvo type="min"/>
        <cfvo type="percentile" val="50"/>
        <cfvo type="max"/>
        <color rgb="FFF8696B"/>
        <color rgb="FFFFEB84"/>
        <color rgb="FF63BE7B"/>
      </colorScale>
    </cfRule>
  </conditionalFormatting>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1">
    <tabColor theme="0"/>
  </sheetPr>
  <dimension ref="B2:AK106"/>
  <sheetViews>
    <sheetView topLeftCell="A31" workbookViewId="0">
      <selection activeCell="E14" sqref="E14"/>
    </sheetView>
  </sheetViews>
  <sheetFormatPr defaultColWidth="9.1796875" defaultRowHeight="12.5" x14ac:dyDescent="0.25"/>
  <cols>
    <col min="1" max="1" width="9.1796875" style="3"/>
    <col min="2" max="2" width="22.81640625" style="3" bestFit="1" customWidth="1"/>
    <col min="3" max="3" width="13.54296875" style="3" customWidth="1"/>
    <col min="4" max="4" width="31.26953125" style="3" customWidth="1"/>
    <col min="5" max="5" width="36.81640625" style="3" bestFit="1" customWidth="1"/>
    <col min="6" max="6" width="37.54296875" style="3" bestFit="1" customWidth="1"/>
    <col min="7" max="10" width="20.7265625" style="3" customWidth="1"/>
    <col min="11" max="11" width="16.1796875" style="3" customWidth="1"/>
    <col min="12" max="12" width="11.81640625" style="3" customWidth="1"/>
    <col min="13" max="13" width="9.1796875" style="3"/>
    <col min="14" max="14" width="22.81640625" style="3" bestFit="1" customWidth="1"/>
    <col min="15" max="15" width="12.54296875" style="3" bestFit="1" customWidth="1"/>
    <col min="16" max="16" width="65" style="3" bestFit="1" customWidth="1"/>
    <col min="17" max="19" width="12.453125" style="3" customWidth="1"/>
    <col min="20" max="16384" width="9.1796875" style="3"/>
  </cols>
  <sheetData>
    <row r="2" spans="2:37" x14ac:dyDescent="0.25">
      <c r="B2" s="3" t="s">
        <v>77</v>
      </c>
      <c r="C2" s="3" t="s">
        <v>78</v>
      </c>
      <c r="D2" s="3" t="s">
        <v>79</v>
      </c>
      <c r="E2" s="3" t="s">
        <v>234</v>
      </c>
      <c r="F2" s="3" t="s">
        <v>328</v>
      </c>
      <c r="G2" s="38" t="s">
        <v>45</v>
      </c>
      <c r="H2" s="38" t="s">
        <v>241</v>
      </c>
      <c r="I2" s="3" t="s">
        <v>242</v>
      </c>
      <c r="J2" s="3" t="s">
        <v>245</v>
      </c>
      <c r="K2" s="3" t="s">
        <v>76</v>
      </c>
      <c r="L2" s="3" t="s">
        <v>72</v>
      </c>
      <c r="N2" s="3" t="s">
        <v>80</v>
      </c>
      <c r="O2" s="3" t="s">
        <v>48</v>
      </c>
      <c r="P2" s="3" t="s">
        <v>81</v>
      </c>
      <c r="Q2" s="3" t="s">
        <v>82</v>
      </c>
      <c r="R2" s="3" t="s">
        <v>83</v>
      </c>
      <c r="S2" s="3" t="s">
        <v>84</v>
      </c>
      <c r="AB2" s="3" t="s">
        <v>525</v>
      </c>
      <c r="AC2" s="3" t="s">
        <v>526</v>
      </c>
      <c r="AD2" s="3" t="s">
        <v>527</v>
      </c>
      <c r="AE2" s="3" t="s">
        <v>528</v>
      </c>
      <c r="AF2" s="3" t="s">
        <v>529</v>
      </c>
      <c r="AG2" s="3" t="s">
        <v>530</v>
      </c>
      <c r="AH2" s="3" t="s">
        <v>531</v>
      </c>
      <c r="AI2" s="3" t="s">
        <v>532</v>
      </c>
      <c r="AJ2" s="3" t="s">
        <v>533</v>
      </c>
      <c r="AK2" s="3" t="s">
        <v>534</v>
      </c>
    </row>
    <row r="3" spans="2:37" x14ac:dyDescent="0.25">
      <c r="B3" s="3" t="s">
        <v>85</v>
      </c>
      <c r="C3" s="3" t="s">
        <v>10</v>
      </c>
      <c r="E3" s="3" t="s">
        <v>31</v>
      </c>
      <c r="F3" s="7"/>
      <c r="K3" s="1" t="s">
        <v>36</v>
      </c>
      <c r="L3" s="51">
        <v>0.35</v>
      </c>
      <c r="N3" s="7" t="s">
        <v>86</v>
      </c>
      <c r="O3" s="7" t="s">
        <v>87</v>
      </c>
      <c r="P3" s="7" t="s">
        <v>88</v>
      </c>
      <c r="Q3" s="7">
        <v>25</v>
      </c>
      <c r="R3" s="7">
        <v>55</v>
      </c>
      <c r="S3" s="7">
        <v>90</v>
      </c>
      <c r="AA3" s="3">
        <v>1</v>
      </c>
      <c r="AB3" s="3" t="str">
        <f>IF(OR(O18=Data!$E$9,O18=Data!$E$10,O18=Data!$E$11,O18=Data!$E$12,O18=Data!$E$13,O18=Data!$E$14,O18=Data!$E$15,O18=Data!$E$16,O18=Data!$E$17,O18=Data!$E$18,O18=Data!$E$19,O18=Data!$E$20,O18=Data!$E$21)," ","?")</f>
        <v>?</v>
      </c>
      <c r="AC3" s="3" t="str">
        <f>IF(OR(O18=Data!$E$4,O18=Data!$E$5,O18=Data!$E$6,O18=Data!$E$7,O18=Data!$E$8,O18=Data!$E$9,O18=Data!$E$10,O18=Data!$E$11,O18=Data!$E$18,O18=Data!$E$19,O18=Data!$E$20,O18=Data!$E$21)," ","?")</f>
        <v>?</v>
      </c>
      <c r="AD3" s="3" t="str">
        <f>IF(OR(O18=Data!$E$4,O18=Data!$E$5,O18=Data!$E$6,O18=Data!$E$7,O18=Data!$E$8,O18=Data!$E$9,O18=Data!$E$18,O18=Data!$E$19,O18=Data!$E$20,O18=Data!$E$21)," ","?")</f>
        <v>?</v>
      </c>
      <c r="AE3" s="3" t="str">
        <f>IF(OR(O18=Data!$E$20,O18=Data!$E$21)," ","?")</f>
        <v>?</v>
      </c>
      <c r="AF3" s="3" t="str">
        <f>IF(OR(O18=Data!$E$7,O18=Data!$E$5,O18=Data!$E$6,O18=Data!$E$8,O18=Data!$E$9,O18=Data!$E$10,O18=Data!$E$11,O18=Data!$E$21,O18=Data!$E$20,O18=Data!$E$19,O18=Data!$E$18,O18=Data!$E$4)," ","?")</f>
        <v>?</v>
      </c>
      <c r="AG3" s="3" t="str">
        <f>IF(OR(O18=Data!$E$7,O18=Data!$E$5,O18=Data!$E$6,O18=Data!$E$8,O18=Data!$E$9,O18=Data!$E$10,O18=Data!$E$11,O18=Data!$E$21,O18=Data!$E$20,O18=Data!$E$19,O18=Data!$E$18,O18=Data!$E$4)," ","?")</f>
        <v>?</v>
      </c>
      <c r="AH3" s="3" t="str">
        <f>IF(OR(O18=Data!$E$21)," ","?")</f>
        <v>?</v>
      </c>
      <c r="AI3" s="3" t="str">
        <f>IF(OR(O18=Data!$E$7,O18=Data!$E$5,O18=Data!$E$6,O18=Data!$E$8,O18=Data!$E$21,O18=Data!$E$20,O18=Data!$E$19,O18=Data!$E$18,O18=Data!$E$4)," ","?")</f>
        <v>?</v>
      </c>
      <c r="AJ3" s="3" t="str">
        <f>IF(OR(O18=Data!$E$21)," ","?")</f>
        <v>?</v>
      </c>
    </row>
    <row r="4" spans="2:37" x14ac:dyDescent="0.25">
      <c r="B4" s="3" t="s">
        <v>86</v>
      </c>
      <c r="C4" s="3" t="s">
        <v>172</v>
      </c>
      <c r="D4" s="3" t="s">
        <v>83</v>
      </c>
      <c r="E4" s="1" t="s">
        <v>321</v>
      </c>
      <c r="F4" s="49" t="s">
        <v>30</v>
      </c>
      <c r="G4" s="15">
        <v>1</v>
      </c>
      <c r="H4" s="15" t="s">
        <v>0</v>
      </c>
      <c r="I4" s="15" t="s">
        <v>87</v>
      </c>
      <c r="J4" s="15" t="s">
        <v>0</v>
      </c>
      <c r="K4" s="3" t="s">
        <v>317</v>
      </c>
      <c r="L4" s="9">
        <v>0.35</v>
      </c>
      <c r="N4" s="7"/>
      <c r="O4" s="7" t="s">
        <v>2</v>
      </c>
      <c r="P4" s="7" t="s">
        <v>88</v>
      </c>
      <c r="Q4" s="7">
        <v>25</v>
      </c>
      <c r="R4" s="7">
        <v>55</v>
      </c>
      <c r="S4" s="7">
        <v>90</v>
      </c>
      <c r="AA4" s="3">
        <v>2</v>
      </c>
      <c r="AB4" s="3" t="str">
        <f>IF(OR(O19=Data!$E$9,O19=Data!$E$10,O19=Data!$E$11,O19=Data!$E$12,O19=Data!$E$13,O19=Data!$E$14,O19=Data!$E$15,O19=Data!$E$16,O19=Data!$E$17,O19=Data!$E$18,O19=Data!$E$19,O19=Data!$E$20,O19=Data!$E$21)," ","?")</f>
        <v>?</v>
      </c>
      <c r="AC4" s="3" t="str">
        <f>IF(OR(O19=Data!$E$4,O19=Data!$E$5,O19=Data!$E$6,O19=Data!$E$7,O19=Data!$E$8,O19=Data!$E$9,O19=Data!$E$10,O19=Data!$E$11,O19=Data!$E$18,O19=Data!$E$19,O19=Data!$E$20,O19=Data!$E$21)," ","?")</f>
        <v>?</v>
      </c>
      <c r="AD4" s="3" t="str">
        <f>IF(OR(O19=Data!$E$4,O19=Data!$E$5,O19=Data!$E$6,O19=Data!$E$7,O19=Data!$E$8,O19=Data!$E$9,O19=Data!$E$18,O19=Data!$E$19,O19=Data!$E$20,O19=Data!$E$21)," ","?")</f>
        <v>?</v>
      </c>
      <c r="AE4" s="3" t="str">
        <f>IF(OR(O19=Data!$E$20,O19=Data!$E$21)," ","?")</f>
        <v>?</v>
      </c>
      <c r="AF4" s="3" t="str">
        <f>IF(OR(O19=Data!$E$7,O19=Data!$E$5,O19=Data!$E$6,O19=Data!$E$8,O19=Data!$E$9,O19=Data!$E$10,O19=Data!$E$11,O19=Data!$E$21,O19=Data!$E$20,O19=Data!$E$19,O19=Data!$E$18,O19=Data!$E$4)," ","?")</f>
        <v>?</v>
      </c>
      <c r="AG4" s="3" t="str">
        <f>IF(OR(O19=Data!$E$7,O19=Data!$E$5,O19=Data!$E$6,O19=Data!$E$8,O19=Data!$E$9,O19=Data!$E$10,O19=Data!$E$11,O19=Data!$E$21,O19=Data!$E$20,O19=Data!$E$19,O19=Data!$E$18,O19=Data!$E$4)," ","?")</f>
        <v>?</v>
      </c>
      <c r="AH4" s="3" t="str">
        <f>IF(OR(O19=Data!$E$21)," ","?")</f>
        <v>?</v>
      </c>
      <c r="AI4" s="3" t="str">
        <f>IF(OR(O19=Data!$E$7,O19=Data!$E$5,O19=Data!$E$6,O19=Data!$E$8,O19=Data!$E$21,O19=Data!$E$20,O19=Data!$E$19,O19=Data!$E$18,O19=Data!$E$4)," ","?")</f>
        <v>?</v>
      </c>
      <c r="AJ4" s="3" t="str">
        <f>IF(OR(O19=Data!$E$21)," ","?")</f>
        <v>?</v>
      </c>
    </row>
    <row r="5" spans="2:37" x14ac:dyDescent="0.25">
      <c r="B5" s="3" t="s">
        <v>90</v>
      </c>
      <c r="C5" s="3" t="s">
        <v>1</v>
      </c>
      <c r="D5" s="3" t="s">
        <v>83</v>
      </c>
      <c r="E5" s="3" t="s">
        <v>322</v>
      </c>
      <c r="F5" s="49" t="s">
        <v>95</v>
      </c>
      <c r="G5" s="15">
        <v>0.7</v>
      </c>
      <c r="H5" s="15" t="s">
        <v>0</v>
      </c>
      <c r="I5" s="15" t="s">
        <v>87</v>
      </c>
      <c r="J5" s="15" t="s">
        <v>0</v>
      </c>
      <c r="K5" s="22" t="s">
        <v>37</v>
      </c>
      <c r="L5" s="9">
        <v>0.45</v>
      </c>
      <c r="N5" s="7"/>
      <c r="O5" s="7" t="s">
        <v>92</v>
      </c>
      <c r="P5" s="7" t="s">
        <v>88</v>
      </c>
      <c r="Q5" s="7">
        <v>25</v>
      </c>
      <c r="R5" s="7">
        <v>55</v>
      </c>
      <c r="S5" s="7">
        <v>90</v>
      </c>
      <c r="AA5" s="3">
        <v>3</v>
      </c>
      <c r="AB5" s="3" t="str">
        <f>IF(OR(O20=Data!$E$9,O20=Data!$E$10,O20=Data!$E$11,O20=Data!$E$12,O20=Data!$E$13,O20=Data!$E$14,O20=Data!$E$15,O20=Data!$E$16,O20=Data!$E$17,O20=Data!$E$18,O20=Data!$E$19,O20=Data!$E$20,O20=Data!$E$21)," ","?")</f>
        <v>?</v>
      </c>
      <c r="AC5" s="3" t="str">
        <f>IF(OR(O20=Data!$E$4,O20=Data!$E$5,O20=Data!$E$6,O20=Data!$E$7,O20=Data!$E$8,O20=Data!$E$9,O20=Data!$E$10,O20=Data!$E$11,O20=Data!$E$18,O20=Data!$E$19,O20=Data!$E$20,O20=Data!$E$21)," ","?")</f>
        <v>?</v>
      </c>
      <c r="AD5" s="3" t="str">
        <f>IF(OR(O20=Data!$E$4,O20=Data!$E$5,O20=Data!$E$6,O20=Data!$E$7,O20=Data!$E$8,O20=Data!$E$9,O20=Data!$E$18,O20=Data!$E$19,O20=Data!$E$20,O20=Data!$E$21)," ","?")</f>
        <v>?</v>
      </c>
      <c r="AE5" s="3" t="str">
        <f>IF(OR(O20=Data!$E$20,O20=Data!$E$21)," ","?")</f>
        <v>?</v>
      </c>
      <c r="AF5" s="3" t="str">
        <f>IF(OR(O20=Data!$E$7,O20=Data!$E$5,O20=Data!$E$6,O20=Data!$E$8,O20=Data!$E$9,O20=Data!$E$10,O20=Data!$E$11,O20=Data!$E$21,O20=Data!$E$20,O20=Data!$E$19,O20=Data!$E$18,O20=Data!$E$4)," ","?")</f>
        <v>?</v>
      </c>
      <c r="AG5" s="3" t="str">
        <f>IF(OR(O20=Data!$E$7,O20=Data!$E$5,O20=Data!$E$6,O20=Data!$E$8,O20=Data!$E$9,O20=Data!$E$10,O20=Data!$E$11,O20=Data!$E$21,O20=Data!$E$20,O20=Data!$E$19,O20=Data!$E$18,O20=Data!$E$4)," ","?")</f>
        <v>?</v>
      </c>
      <c r="AH5" s="3" t="str">
        <f>IF(OR(O20=Data!$E$21)," ","?")</f>
        <v>?</v>
      </c>
      <c r="AI5" s="3" t="str">
        <f>IF(OR(O20=Data!$E$7,O20=Data!$E$5,O20=Data!$E$6,O20=Data!$E$8,O20=Data!$E$21,O20=Data!$E$20,O20=Data!$E$19,O20=Data!$E$18,O20=Data!$E$4)," ","?")</f>
        <v>?</v>
      </c>
      <c r="AJ5" s="3" t="str">
        <f>IF(OR(O20=Data!$E$21)," ","?")</f>
        <v>?</v>
      </c>
    </row>
    <row r="6" spans="2:37" x14ac:dyDescent="0.25">
      <c r="B6" s="3" t="s">
        <v>93</v>
      </c>
      <c r="C6" s="3" t="s">
        <v>174</v>
      </c>
      <c r="D6" s="3" t="s">
        <v>82</v>
      </c>
      <c r="E6" s="1" t="s">
        <v>323</v>
      </c>
      <c r="F6" s="49" t="s">
        <v>97</v>
      </c>
      <c r="G6" s="15">
        <v>0.85</v>
      </c>
      <c r="H6" s="15" t="s">
        <v>0</v>
      </c>
      <c r="I6" s="15" t="s">
        <v>87</v>
      </c>
      <c r="J6" s="15" t="s">
        <v>0</v>
      </c>
      <c r="K6" s="3" t="s">
        <v>98</v>
      </c>
      <c r="L6" s="9">
        <v>0.65</v>
      </c>
      <c r="N6" s="7" t="s">
        <v>90</v>
      </c>
      <c r="O6" s="7" t="s">
        <v>87</v>
      </c>
      <c r="P6" s="7" t="s">
        <v>88</v>
      </c>
      <c r="Q6" s="7">
        <v>25</v>
      </c>
      <c r="R6" s="7">
        <v>55</v>
      </c>
      <c r="S6" s="7">
        <v>90</v>
      </c>
      <c r="AA6" s="3">
        <v>4</v>
      </c>
      <c r="AB6" s="3" t="str">
        <f>IF(OR(O21=Data!$E$9,O21=Data!$E$10,O21=Data!$E$11,O21=Data!$E$12,O21=Data!$E$13,O21=Data!$E$14,O21=Data!$E$15,O21=Data!$E$16,O21=Data!$E$17,O21=Data!$E$18,O21=Data!$E$19,O21=Data!$E$20,O21=Data!$E$21)," ","?")</f>
        <v>?</v>
      </c>
      <c r="AC6" s="3" t="str">
        <f>IF(OR(O21=Data!$E$4,O21=Data!$E$5,O21=Data!$E$6,O21=Data!$E$7,O21=Data!$E$8,O21=Data!$E$9,O21=Data!$E$10,O21=Data!$E$11,O21=Data!$E$18,O21=Data!$E$19,O21=Data!$E$20,O21=Data!$E$21)," ","?")</f>
        <v>?</v>
      </c>
      <c r="AD6" s="3" t="str">
        <f>IF(OR(O21=Data!$E$4,O21=Data!$E$5,O21=Data!$E$6,O21=Data!$E$7,O21=Data!$E$8,O21=Data!$E$9,O21=Data!$E$18,O21=Data!$E$19,O21=Data!$E$20,O21=Data!$E$21)," ","?")</f>
        <v>?</v>
      </c>
      <c r="AE6" s="3" t="str">
        <f>IF(OR(O21=Data!$E$20,O21=Data!$E$21)," ","?")</f>
        <v>?</v>
      </c>
      <c r="AF6" s="3" t="str">
        <f>IF(OR(O21=Data!$E$7,O21=Data!$E$5,O21=Data!$E$6,O21=Data!$E$8,O21=Data!$E$9,O21=Data!$E$10,O21=Data!$E$11,O21=Data!$E$21,O21=Data!$E$20,O21=Data!$E$19,O21=Data!$E$18,O21=Data!$E$4)," ","?")</f>
        <v>?</v>
      </c>
      <c r="AG6" s="3" t="str">
        <f>IF(OR(O21=Data!$E$7,O21=Data!$E$5,O21=Data!$E$6,O21=Data!$E$8,O21=Data!$E$9,O21=Data!$E$10,O21=Data!$E$11,O21=Data!$E$21,O21=Data!$E$20,O21=Data!$E$19,O21=Data!$E$18,O21=Data!$E$4)," ","?")</f>
        <v>?</v>
      </c>
      <c r="AH6" s="3" t="str">
        <f>IF(OR(O21=Data!$E$21)," ","?")</f>
        <v>?</v>
      </c>
      <c r="AI6" s="3" t="str">
        <f>IF(OR(O21=Data!$E$7,O21=Data!$E$5,O21=Data!$E$6,O21=Data!$E$8,O21=Data!$E$21,O21=Data!$E$20,O21=Data!$E$19,O21=Data!$E$18,O21=Data!$E$4)," ","?")</f>
        <v>?</v>
      </c>
      <c r="AJ6" s="3" t="str">
        <f>IF(OR(O21=Data!$E$21)," ","?")</f>
        <v>?</v>
      </c>
    </row>
    <row r="7" spans="2:37" x14ac:dyDescent="0.25">
      <c r="B7" s="3" t="s">
        <v>42</v>
      </c>
      <c r="C7" s="3" t="s">
        <v>176</v>
      </c>
      <c r="D7" s="3" t="s">
        <v>82</v>
      </c>
      <c r="E7" s="3" t="s">
        <v>324</v>
      </c>
      <c r="F7" s="49" t="s">
        <v>94</v>
      </c>
      <c r="G7" s="15">
        <v>0.5</v>
      </c>
      <c r="H7" s="15" t="s">
        <v>0</v>
      </c>
      <c r="I7" s="15" t="s">
        <v>87</v>
      </c>
      <c r="J7" s="15" t="s">
        <v>0</v>
      </c>
      <c r="K7" s="3" t="s">
        <v>318</v>
      </c>
      <c r="L7" s="9">
        <v>0.9</v>
      </c>
      <c r="N7" s="7"/>
      <c r="O7" s="7" t="s">
        <v>2</v>
      </c>
      <c r="P7" s="7" t="s">
        <v>88</v>
      </c>
      <c r="Q7" s="7">
        <v>25</v>
      </c>
      <c r="R7" s="7">
        <v>55</v>
      </c>
      <c r="S7" s="7">
        <v>90</v>
      </c>
      <c r="AA7" s="3">
        <v>5</v>
      </c>
      <c r="AB7" s="3" t="str">
        <f>IF(OR(O22=Data!$E$9,O22=Data!$E$10,O22=Data!$E$11,O22=Data!$E$12,O22=Data!$E$13,O22=Data!$E$14,O22=Data!$E$15,O22=Data!$E$16,O22=Data!$E$17,O22=Data!$E$18,O22=Data!$E$19,O22=Data!$E$20,O22=Data!$E$21)," ","?")</f>
        <v>?</v>
      </c>
      <c r="AC7" s="3" t="str">
        <f>IF(OR(O22=Data!$E$4,O22=Data!$E$5,O22=Data!$E$6,O22=Data!$E$7,O22=Data!$E$8,O22=Data!$E$9,O22=Data!$E$10,O22=Data!$E$11,O22=Data!$E$18,O22=Data!$E$19,O22=Data!$E$20,O22=Data!$E$21)," ","?")</f>
        <v>?</v>
      </c>
      <c r="AD7" s="3" t="str">
        <f>IF(OR(O22=Data!$E$4,O22=Data!$E$5,O22=Data!$E$6,O22=Data!$E$7,O22=Data!$E$8,O22=Data!$E$9,O22=Data!$E$18,O22=Data!$E$19,O22=Data!$E$20,O22=Data!$E$21)," ","?")</f>
        <v>?</v>
      </c>
      <c r="AE7" s="3" t="str">
        <f>IF(OR(O22=Data!$E$20,O22=Data!$E$21)," ","?")</f>
        <v>?</v>
      </c>
      <c r="AF7" s="3" t="str">
        <f>IF(OR(O22=Data!$E$7,O22=Data!$E$5,O22=Data!$E$6,O22=Data!$E$8,O22=Data!$E$9,O22=Data!$E$10,O22=Data!$E$11,O22=Data!$E$21,O22=Data!$E$20,O22=Data!$E$19,O22=Data!$E$18,O22=Data!$E$4)," ","?")</f>
        <v>?</v>
      </c>
      <c r="AG7" s="3" t="str">
        <f>IF(OR(O22=Data!$E$7,O22=Data!$E$5,O22=Data!$E$6,O22=Data!$E$8,O22=Data!$E$9,O22=Data!$E$10,O22=Data!$E$11,O22=Data!$E$21,O22=Data!$E$20,O22=Data!$E$19,O22=Data!$E$18,O22=Data!$E$4)," ","?")</f>
        <v>?</v>
      </c>
      <c r="AH7" s="3" t="str">
        <f>IF(OR(O22=Data!$E$21)," ","?")</f>
        <v>?</v>
      </c>
      <c r="AI7" s="3" t="str">
        <f>IF(OR(O22=Data!$E$7,O22=Data!$E$5,O22=Data!$E$6,O22=Data!$E$8,O22=Data!$E$21,O22=Data!$E$20,O22=Data!$E$19,O22=Data!$E$18,O22=Data!$E$4)," ","?")</f>
        <v>?</v>
      </c>
      <c r="AJ7" s="3" t="str">
        <f>IF(OR(O22=Data!$E$21)," ","?")</f>
        <v>?</v>
      </c>
    </row>
    <row r="8" spans="2:37" x14ac:dyDescent="0.25">
      <c r="B8" s="3" t="s">
        <v>96</v>
      </c>
      <c r="C8" s="3" t="s">
        <v>173</v>
      </c>
      <c r="D8" s="3" t="s">
        <v>82</v>
      </c>
      <c r="E8" s="1" t="s">
        <v>329</v>
      </c>
      <c r="F8" s="49" t="s">
        <v>91</v>
      </c>
      <c r="G8" s="15">
        <v>0.3</v>
      </c>
      <c r="H8" s="15" t="s">
        <v>0</v>
      </c>
      <c r="I8" s="15" t="s">
        <v>87</v>
      </c>
      <c r="J8" s="15" t="s">
        <v>0</v>
      </c>
      <c r="K8" s="3" t="s">
        <v>319</v>
      </c>
      <c r="L8" s="9">
        <v>0.98</v>
      </c>
      <c r="N8" s="7"/>
      <c r="O8" s="7" t="s">
        <v>92</v>
      </c>
      <c r="P8" s="7" t="s">
        <v>88</v>
      </c>
      <c r="Q8" s="7">
        <v>25</v>
      </c>
      <c r="R8" s="7">
        <v>55</v>
      </c>
      <c r="S8" s="7">
        <v>90</v>
      </c>
      <c r="AA8" s="3">
        <v>6</v>
      </c>
      <c r="AB8" s="3" t="str">
        <f>IF(OR(O23=Data!$E$9,O23=Data!$E$10,O23=Data!$E$11,O23=Data!$E$12,O23=Data!$E$13,O23=Data!$E$14,O23=Data!$E$15,O23=Data!$E$16,O23=Data!$E$17,O23=Data!$E$18,O23=Data!$E$19,O23=Data!$E$20,O23=Data!$E$21)," ","?")</f>
        <v>?</v>
      </c>
      <c r="AC8" s="3" t="str">
        <f>IF(OR(O23=Data!$E$4,O23=Data!$E$5,O23=Data!$E$6,O23=Data!$E$7,O23=Data!$E$8,O23=Data!$E$9,O23=Data!$E$10,O23=Data!$E$11,O23=Data!$E$18,O23=Data!$E$19,O23=Data!$E$20,O23=Data!$E$21)," ","?")</f>
        <v>?</v>
      </c>
      <c r="AD8" s="3" t="str">
        <f>IF(OR(O23=Data!$E$4,O23=Data!$E$5,O23=Data!$E$6,O23=Data!$E$7,O23=Data!$E$8,O23=Data!$E$9,O23=Data!$E$18,O23=Data!$E$19,O23=Data!$E$20,O23=Data!$E$21)," ","?")</f>
        <v>?</v>
      </c>
      <c r="AE8" s="3" t="str">
        <f>IF(OR(O23=Data!$E$20,O23=Data!$E$21)," ","?")</f>
        <v>?</v>
      </c>
      <c r="AF8" s="3" t="str">
        <f>IF(OR(O23=Data!$E$7,O23=Data!$E$5,O23=Data!$E$6,O23=Data!$E$8,O23=Data!$E$9,O23=Data!$E$10,O23=Data!$E$11,O23=Data!$E$21,O23=Data!$E$20,O23=Data!$E$19,O23=Data!$E$18,O23=Data!$E$4)," ","?")</f>
        <v>?</v>
      </c>
      <c r="AG8" s="3" t="str">
        <f>IF(OR(O23=Data!$E$7,O23=Data!$E$5,O23=Data!$E$6,O23=Data!$E$8,O23=Data!$E$9,O23=Data!$E$10,O23=Data!$E$11,O23=Data!$E$21,O23=Data!$E$20,O23=Data!$E$19,O23=Data!$E$18,O23=Data!$E$4)," ","?")</f>
        <v>?</v>
      </c>
      <c r="AH8" s="3" t="str">
        <f>IF(OR(O23=Data!$E$21)," ","?")</f>
        <v>?</v>
      </c>
      <c r="AI8" s="3" t="str">
        <f>IF(OR(O23=Data!$E$7,O23=Data!$E$5,O23=Data!$E$6,O23=Data!$E$8,O23=Data!$E$21,O23=Data!$E$20,O23=Data!$E$19,O23=Data!$E$18,O23=Data!$E$4)," ","?")</f>
        <v>?</v>
      </c>
      <c r="AJ8" s="3" t="str">
        <f>IF(OR(O23=Data!$E$21)," ","?")</f>
        <v>?</v>
      </c>
    </row>
    <row r="9" spans="2:37" x14ac:dyDescent="0.25">
      <c r="B9" s="3" t="s">
        <v>99</v>
      </c>
      <c r="C9" s="3" t="s">
        <v>175</v>
      </c>
      <c r="D9" s="3" t="s">
        <v>84</v>
      </c>
      <c r="E9" s="1" t="s">
        <v>236</v>
      </c>
      <c r="F9" s="49" t="s">
        <v>101</v>
      </c>
      <c r="G9" s="15">
        <v>1</v>
      </c>
      <c r="H9" s="15" t="s">
        <v>0</v>
      </c>
      <c r="I9" s="15" t="s">
        <v>2</v>
      </c>
      <c r="J9" s="15" t="s">
        <v>0</v>
      </c>
      <c r="K9" s="3" t="s">
        <v>320</v>
      </c>
      <c r="L9" s="9">
        <v>1</v>
      </c>
      <c r="N9" s="7" t="s">
        <v>93</v>
      </c>
      <c r="O9" s="7" t="s">
        <v>87</v>
      </c>
      <c r="P9" s="7" t="s">
        <v>88</v>
      </c>
      <c r="Q9" s="7">
        <v>25</v>
      </c>
      <c r="R9" s="7">
        <v>55</v>
      </c>
      <c r="S9" s="7">
        <v>90</v>
      </c>
      <c r="AA9" s="3">
        <v>7</v>
      </c>
      <c r="AB9" s="3" t="str">
        <f>IF(OR(O24=Data!$E$9,O24=Data!$E$10,O24=Data!$E$11,O24=Data!$E$12,O24=Data!$E$13,O24=Data!$E$14,O24=Data!$E$15,O24=Data!$E$16,O24=Data!$E$17,O24=Data!$E$18,O24=Data!$E$19,O24=Data!$E$20,O24=Data!$E$21)," ","?")</f>
        <v>?</v>
      </c>
      <c r="AC9" s="3" t="str">
        <f>IF(OR(O24=Data!$E$4,O24=Data!$E$5,O24=Data!$E$6,O24=Data!$E$7,O24=Data!$E$8,O24=Data!$E$9,O24=Data!$E$10,O24=Data!$E$11,O24=Data!$E$18,O24=Data!$E$19,O24=Data!$E$20,O24=Data!$E$21)," ","?")</f>
        <v>?</v>
      </c>
      <c r="AD9" s="3" t="str">
        <f>IF(OR(O24=Data!$E$4,O24=Data!$E$5,O24=Data!$E$6,O24=Data!$E$7,O24=Data!$E$8,O24=Data!$E$9,O24=Data!$E$18,O24=Data!$E$19,O24=Data!$E$20,O24=Data!$E$21)," ","?")</f>
        <v>?</v>
      </c>
      <c r="AE9" s="3" t="str">
        <f>IF(OR(O24=Data!$E$20,O24=Data!$E$21)," ","?")</f>
        <v>?</v>
      </c>
      <c r="AF9" s="3" t="str">
        <f>IF(OR(O24=Data!$E$7,O24=Data!$E$5,O24=Data!$E$6,O24=Data!$E$8,O24=Data!$E$9,O24=Data!$E$10,O24=Data!$E$11,O24=Data!$E$21,O24=Data!$E$20,O24=Data!$E$19,O24=Data!$E$18,O24=Data!$E$4)," ","?")</f>
        <v>?</v>
      </c>
      <c r="AG9" s="3" t="str">
        <f>IF(OR(O24=Data!$E$7,O24=Data!$E$5,O24=Data!$E$6,O24=Data!$E$8,O24=Data!$E$9,O24=Data!$E$10,O24=Data!$E$11,O24=Data!$E$21,O24=Data!$E$20,O24=Data!$E$19,O24=Data!$E$18,O24=Data!$E$4)," ","?")</f>
        <v>?</v>
      </c>
      <c r="AH9" s="3" t="str">
        <f>IF(OR(O24=Data!$E$21)," ","?")</f>
        <v>?</v>
      </c>
      <c r="AI9" s="3" t="str">
        <f>IF(OR(O24=Data!$E$7,O24=Data!$E$5,O24=Data!$E$6,O24=Data!$E$8,O24=Data!$E$21,O24=Data!$E$20,O24=Data!$E$19,O24=Data!$E$18,O24=Data!$E$4)," ","?")</f>
        <v>?</v>
      </c>
      <c r="AJ9" s="3" t="str">
        <f>IF(OR(O24=Data!$E$21)," ","?")</f>
        <v>?</v>
      </c>
    </row>
    <row r="10" spans="2:37" x14ac:dyDescent="0.25">
      <c r="B10" s="3" t="s">
        <v>100</v>
      </c>
      <c r="E10" s="1" t="s">
        <v>237</v>
      </c>
      <c r="F10" s="49" t="s">
        <v>103</v>
      </c>
      <c r="G10" s="15">
        <v>0.6</v>
      </c>
      <c r="H10" s="15" t="s">
        <v>0</v>
      </c>
      <c r="I10" s="15" t="s">
        <v>2</v>
      </c>
      <c r="J10" s="15" t="s">
        <v>0</v>
      </c>
      <c r="N10" s="7"/>
      <c r="O10" s="7" t="s">
        <v>2</v>
      </c>
      <c r="P10" s="7" t="s">
        <v>88</v>
      </c>
      <c r="Q10" s="7">
        <v>25</v>
      </c>
      <c r="R10" s="7">
        <v>55</v>
      </c>
      <c r="S10" s="7">
        <v>90</v>
      </c>
      <c r="AA10" s="3">
        <v>8</v>
      </c>
      <c r="AB10" s="3" t="str">
        <f>IF(OR(O25=Data!$E$9,O25=Data!$E$10,O25=Data!$E$11,O25=Data!$E$12,O25=Data!$E$13,O25=Data!$E$14,O25=Data!$E$15,O25=Data!$E$16,O25=Data!$E$17,O25=Data!$E$18,O25=Data!$E$19,O25=Data!$E$20,O25=Data!$E$21)," ","?")</f>
        <v>?</v>
      </c>
      <c r="AC10" s="3" t="str">
        <f>IF(OR(O25=Data!$E$4,O25=Data!$E$5,O25=Data!$E$6,O25=Data!$E$7,O25=Data!$E$8,O25=Data!$E$9,O25=Data!$E$10,O25=Data!$E$11,O25=Data!$E$18,O25=Data!$E$19,O25=Data!$E$20,O25=Data!$E$21)," ","?")</f>
        <v>?</v>
      </c>
      <c r="AD10" s="3" t="str">
        <f>IF(OR(O25=Data!$E$4,O25=Data!$E$5,O25=Data!$E$6,O25=Data!$E$7,O25=Data!$E$8,O25=Data!$E$9,O25=Data!$E$18,O25=Data!$E$19,O25=Data!$E$20,O25=Data!$E$21)," ","?")</f>
        <v>?</v>
      </c>
      <c r="AE10" s="3" t="str">
        <f>IF(OR(O25=Data!$E$20,O25=Data!$E$21)," ","?")</f>
        <v>?</v>
      </c>
      <c r="AF10" s="3" t="str">
        <f>IF(OR(O25=Data!$E$7,O25=Data!$E$5,O25=Data!$E$6,O25=Data!$E$8,O25=Data!$E$9,O25=Data!$E$10,O25=Data!$E$11,O25=Data!$E$21,O25=Data!$E$20,O25=Data!$E$19,O25=Data!$E$18,O25=Data!$E$4)," ","?")</f>
        <v>?</v>
      </c>
      <c r="AG10" s="3" t="str">
        <f>IF(OR(O25=Data!$E$7,O25=Data!$E$5,O25=Data!$E$6,O25=Data!$E$8,O25=Data!$E$9,O25=Data!$E$10,O25=Data!$E$11,O25=Data!$E$21,O25=Data!$E$20,O25=Data!$E$19,O25=Data!$E$18,O25=Data!$E$4)," ","?")</f>
        <v>?</v>
      </c>
      <c r="AH10" s="3" t="str">
        <f>IF(OR(O25=Data!$E$21)," ","?")</f>
        <v>?</v>
      </c>
      <c r="AI10" s="3" t="str">
        <f>IF(OR(O25=Data!$E$7,O25=Data!$E$5,O25=Data!$E$6,O25=Data!$E$8,O25=Data!$E$21,O25=Data!$E$20,O25=Data!$E$19,O25=Data!$E$18,O25=Data!$E$4)," ","?")</f>
        <v>?</v>
      </c>
      <c r="AJ10" s="3" t="str">
        <f>IF(OR(O25=Data!$E$21)," ","?")</f>
        <v>?</v>
      </c>
    </row>
    <row r="11" spans="2:37" x14ac:dyDescent="0.25">
      <c r="B11" s="3" t="s">
        <v>102</v>
      </c>
      <c r="E11" s="1" t="s">
        <v>238</v>
      </c>
      <c r="F11" s="49" t="s">
        <v>105</v>
      </c>
      <c r="G11" s="15">
        <v>0.3</v>
      </c>
      <c r="H11" s="15" t="s">
        <v>0</v>
      </c>
      <c r="I11" s="15" t="s">
        <v>2</v>
      </c>
      <c r="J11" s="42" t="s">
        <v>89</v>
      </c>
      <c r="K11" s="3">
        <v>0</v>
      </c>
      <c r="L11" s="3">
        <v>0.35</v>
      </c>
      <c r="N11" s="7"/>
      <c r="O11" s="7" t="s">
        <v>92</v>
      </c>
      <c r="P11" s="7" t="s">
        <v>88</v>
      </c>
      <c r="Q11" s="7">
        <v>25</v>
      </c>
      <c r="R11" s="7">
        <v>55</v>
      </c>
      <c r="S11" s="7">
        <v>90</v>
      </c>
      <c r="AA11" s="3">
        <v>9</v>
      </c>
      <c r="AB11" s="3" t="str">
        <f>IF(OR(O26=Data!$E$9,O26=Data!$E$10,O26=Data!$E$11,O26=Data!$E$12,O26=Data!$E$13,O26=Data!$E$14,O26=Data!$E$15,O26=Data!$E$16,O26=Data!$E$17,O26=Data!$E$18,O26=Data!$E$19,O26=Data!$E$20,O26=Data!$E$21)," ","?")</f>
        <v>?</v>
      </c>
      <c r="AC11" s="3" t="str">
        <f>IF(OR(O26=Data!$E$4,O26=Data!$E$5,O26=Data!$E$6,O26=Data!$E$7,O26=Data!$E$8,O26=Data!$E$9,O26=Data!$E$10,O26=Data!$E$11,O26=Data!$E$18,O26=Data!$E$19,O26=Data!$E$20,O26=Data!$E$21)," ","?")</f>
        <v>?</v>
      </c>
      <c r="AD11" s="3" t="str">
        <f>IF(OR(O26=Data!$E$4,O26=Data!$E$5,O26=Data!$E$6,O26=Data!$E$7,O26=Data!$E$8,O26=Data!$E$9,O26=Data!$E$18,O26=Data!$E$19,O26=Data!$E$20,O26=Data!$E$21)," ","?")</f>
        <v>?</v>
      </c>
      <c r="AE11" s="3" t="str">
        <f>IF(OR(O26=Data!$E$20,O26=Data!$E$21)," ","?")</f>
        <v>?</v>
      </c>
      <c r="AF11" s="3" t="str">
        <f>IF(OR(O26=Data!$E$7,O26=Data!$E$5,O26=Data!$E$6,O26=Data!$E$8,O26=Data!$E$9,O26=Data!$E$10,O26=Data!$E$11,O26=Data!$E$21,O26=Data!$E$20,O26=Data!$E$19,O26=Data!$E$18,O26=Data!$E$4)," ","?")</f>
        <v>?</v>
      </c>
      <c r="AG11" s="3" t="str">
        <f>IF(OR(O26=Data!$E$7,O26=Data!$E$5,O26=Data!$E$6,O26=Data!$E$8,O26=Data!$E$9,O26=Data!$E$10,O26=Data!$E$11,O26=Data!$E$21,O26=Data!$E$20,O26=Data!$E$19,O26=Data!$E$18,O26=Data!$E$4)," ","?")</f>
        <v>?</v>
      </c>
      <c r="AH11" s="3" t="str">
        <f>IF(OR(O26=Data!$E$21)," ","?")</f>
        <v>?</v>
      </c>
      <c r="AI11" s="3" t="str">
        <f>IF(OR(O26=Data!$E$7,O26=Data!$E$5,O26=Data!$E$6,O26=Data!$E$8,O26=Data!$E$21,O26=Data!$E$20,O26=Data!$E$19,O26=Data!$E$18,O26=Data!$E$4)," ","?")</f>
        <v>?</v>
      </c>
      <c r="AJ11" s="3" t="str">
        <f>IF(OR(O26=Data!$E$21)," ","?")</f>
        <v>?</v>
      </c>
    </row>
    <row r="12" spans="2:37" x14ac:dyDescent="0.25">
      <c r="B12" s="3" t="s">
        <v>104</v>
      </c>
      <c r="E12" s="1" t="s">
        <v>239</v>
      </c>
      <c r="F12" s="49" t="s">
        <v>108</v>
      </c>
      <c r="G12" s="15">
        <v>0.3</v>
      </c>
      <c r="H12" s="15" t="s">
        <v>89</v>
      </c>
      <c r="I12" s="41"/>
      <c r="J12" s="16" t="s">
        <v>89</v>
      </c>
      <c r="K12" s="3">
        <v>100</v>
      </c>
      <c r="L12" s="3">
        <v>0.45</v>
      </c>
      <c r="N12" s="7" t="s">
        <v>42</v>
      </c>
      <c r="O12" s="7" t="s">
        <v>87</v>
      </c>
      <c r="P12" s="7" t="s">
        <v>106</v>
      </c>
      <c r="Q12" s="7">
        <v>55</v>
      </c>
      <c r="R12" s="7">
        <v>90</v>
      </c>
      <c r="S12" s="7">
        <v>125</v>
      </c>
      <c r="AA12" s="3">
        <v>10</v>
      </c>
      <c r="AB12" s="3" t="str">
        <f>IF(OR(O27=Data!$E$9,O27=Data!$E$10,O27=Data!$E$11,O27=Data!$E$12,O27=Data!$E$13,O27=Data!$E$14,O27=Data!$E$15,O27=Data!$E$16,O27=Data!$E$17,O27=Data!$E$18,O27=Data!$E$19,O27=Data!$E$20,O27=Data!$E$21)," ","?")</f>
        <v>?</v>
      </c>
      <c r="AC12" s="3" t="str">
        <f>IF(OR(O27=Data!$E$4,O27=Data!$E$5,O27=Data!$E$6,O27=Data!$E$7,O27=Data!$E$8,O27=Data!$E$9,O27=Data!$E$10,O27=Data!$E$11,O27=Data!$E$18,O27=Data!$E$19,O27=Data!$E$20,O27=Data!$E$21)," ","?")</f>
        <v>?</v>
      </c>
      <c r="AD12" s="3" t="str">
        <f>IF(OR(O27=Data!$E$4,O27=Data!$E$5,O27=Data!$E$6,O27=Data!$E$7,O27=Data!$E$8,O27=Data!$E$9,O27=Data!$E$18,O27=Data!$E$19,O27=Data!$E$20,O27=Data!$E$21)," ","?")</f>
        <v>?</v>
      </c>
      <c r="AE12" s="3" t="str">
        <f>IF(OR(O27=Data!$E$20,O27=Data!$E$21)," ","?")</f>
        <v>?</v>
      </c>
      <c r="AF12" s="3" t="str">
        <f>IF(OR(O27=Data!$E$7,O27=Data!$E$5,O27=Data!$E$6,O27=Data!$E$8,O27=Data!$E$9,O27=Data!$E$10,O27=Data!$E$11,O27=Data!$E$21,O27=Data!$E$20,O27=Data!$E$19,O27=Data!$E$18,O27=Data!$E$4)," ","?")</f>
        <v>?</v>
      </c>
      <c r="AG12" s="3" t="str">
        <f>IF(OR(O27=Data!$E$7,O27=Data!$E$5,O27=Data!$E$6,O27=Data!$E$8,O27=Data!$E$9,O27=Data!$E$10,O27=Data!$E$11,O27=Data!$E$21,O27=Data!$E$20,O27=Data!$E$19,O27=Data!$E$18,O27=Data!$E$4)," ","?")</f>
        <v>?</v>
      </c>
      <c r="AH12" s="3" t="str">
        <f>IF(OR(O27=Data!$E$21)," ","?")</f>
        <v>?</v>
      </c>
      <c r="AI12" s="3" t="str">
        <f>IF(OR(O27=Data!$E$7,O27=Data!$E$5,O27=Data!$E$6,O27=Data!$E$8,O27=Data!$E$21,O27=Data!$E$20,O27=Data!$E$19,O27=Data!$E$18,O27=Data!$E$4)," ","?")</f>
        <v>?</v>
      </c>
      <c r="AJ12" s="3" t="str">
        <f>IF(OR(O27=Data!$E$21)," ","?")</f>
        <v>?</v>
      </c>
    </row>
    <row r="13" spans="2:37" x14ac:dyDescent="0.25">
      <c r="B13" s="3" t="s">
        <v>107</v>
      </c>
      <c r="E13" s="1" t="s">
        <v>240</v>
      </c>
      <c r="F13" s="49" t="s">
        <v>110</v>
      </c>
      <c r="G13" s="15">
        <v>0.1</v>
      </c>
      <c r="H13" s="15" t="s">
        <v>89</v>
      </c>
      <c r="I13" s="41"/>
      <c r="J13" s="16" t="s">
        <v>89</v>
      </c>
      <c r="K13" s="3">
        <v>1000</v>
      </c>
      <c r="L13" s="3">
        <v>0.65</v>
      </c>
      <c r="N13" s="7"/>
      <c r="O13" s="7" t="s">
        <v>2</v>
      </c>
      <c r="P13" s="7" t="s">
        <v>106</v>
      </c>
      <c r="Q13" s="7">
        <v>55</v>
      </c>
      <c r="R13" s="7">
        <v>90</v>
      </c>
      <c r="S13" s="7">
        <v>125</v>
      </c>
      <c r="AA13" s="3">
        <v>11</v>
      </c>
      <c r="AB13" s="3" t="str">
        <f>IF(OR(O28=Data!$E$9,O28=Data!$E$10,O28=Data!$E$11,O28=Data!$E$12,O28=Data!$E$13,O28=Data!$E$14,O28=Data!$E$15,O28=Data!$E$16,O28=Data!$E$17,O28=Data!$E$18,O28=Data!$E$19,O28=Data!$E$20,O28=Data!$E$21)," ","?")</f>
        <v>?</v>
      </c>
      <c r="AC13" s="3" t="str">
        <f>IF(OR(O28=Data!$E$4,O28=Data!$E$5,O28=Data!$E$6,O28=Data!$E$7,O28=Data!$E$8,O28=Data!$E$9,O28=Data!$E$10,O28=Data!$E$11,O28=Data!$E$18,O28=Data!$E$19,O28=Data!$E$20,O28=Data!$E$21)," ","?")</f>
        <v>?</v>
      </c>
      <c r="AD13" s="3" t="str">
        <f>IF(OR(O28=Data!$E$4,O28=Data!$E$5,O28=Data!$E$6,O28=Data!$E$7,O28=Data!$E$8,O28=Data!$E$9,O28=Data!$E$18,O28=Data!$E$19,O28=Data!$E$20,O28=Data!$E$21)," ","?")</f>
        <v>?</v>
      </c>
      <c r="AE13" s="3" t="str">
        <f>IF(OR(O28=Data!$E$20,O28=Data!$E$21)," ","?")</f>
        <v>?</v>
      </c>
      <c r="AF13" s="3" t="str">
        <f>IF(OR(O28=Data!$E$7,O28=Data!$E$5,O28=Data!$E$6,O28=Data!$E$8,O28=Data!$E$9,O28=Data!$E$10,O28=Data!$E$11,O28=Data!$E$21,O28=Data!$E$20,O28=Data!$E$19,O28=Data!$E$18,O28=Data!$E$4)," ","?")</f>
        <v>?</v>
      </c>
      <c r="AG13" s="3" t="str">
        <f>IF(OR(O28=Data!$E$7,O28=Data!$E$5,O28=Data!$E$6,O28=Data!$E$8,O28=Data!$E$9,O28=Data!$E$10,O28=Data!$E$11,O28=Data!$E$21,O28=Data!$E$20,O28=Data!$E$19,O28=Data!$E$18,O28=Data!$E$4)," ","?")</f>
        <v>?</v>
      </c>
      <c r="AH13" s="3" t="str">
        <f>IF(OR(O28=Data!$E$21)," ","?")</f>
        <v>?</v>
      </c>
      <c r="AI13" s="3" t="str">
        <f>IF(OR(O28=Data!$E$7,O28=Data!$E$5,O28=Data!$E$6,O28=Data!$E$8,O28=Data!$E$21,O28=Data!$E$20,O28=Data!$E$19,O28=Data!$E$18,O28=Data!$E$4)," ","?")</f>
        <v>?</v>
      </c>
      <c r="AJ13" s="3" t="str">
        <f>IF(OR(O28=Data!$E$21)," ","?")</f>
        <v>?</v>
      </c>
    </row>
    <row r="14" spans="2:37" x14ac:dyDescent="0.25">
      <c r="B14" s="3" t="s">
        <v>109</v>
      </c>
      <c r="E14" s="1" t="s">
        <v>325</v>
      </c>
      <c r="F14" s="49" t="s">
        <v>112</v>
      </c>
      <c r="G14" s="15">
        <v>0.05</v>
      </c>
      <c r="H14" s="15" t="s">
        <v>89</v>
      </c>
      <c r="I14" s="41"/>
      <c r="J14" s="16" t="s">
        <v>89</v>
      </c>
      <c r="K14" s="3">
        <v>10000</v>
      </c>
      <c r="L14" s="3">
        <v>0.9</v>
      </c>
      <c r="N14" s="7"/>
      <c r="O14" s="7" t="s">
        <v>92</v>
      </c>
      <c r="P14" s="7" t="s">
        <v>88</v>
      </c>
      <c r="Q14" s="7">
        <v>25</v>
      </c>
      <c r="R14" s="7">
        <v>55</v>
      </c>
      <c r="S14" s="7">
        <v>90</v>
      </c>
      <c r="AA14" s="3">
        <v>12</v>
      </c>
      <c r="AB14" s="3" t="str">
        <f>IF(OR(O29=Data!$E$9,O29=Data!$E$10,O29=Data!$E$11,O29=Data!$E$12,O29=Data!$E$13,O29=Data!$E$14,O29=Data!$E$15,O29=Data!$E$16,O29=Data!$E$17,O29=Data!$E$18,O29=Data!$E$19,O29=Data!$E$20,O29=Data!$E$21)," ","?")</f>
        <v>?</v>
      </c>
      <c r="AC14" s="3" t="str">
        <f>IF(OR(O29=Data!$E$4,O29=Data!$E$5,O29=Data!$E$6,O29=Data!$E$7,O29=Data!$E$8,O29=Data!$E$9,O29=Data!$E$10,O29=Data!$E$11,O29=Data!$E$18,O29=Data!$E$19,O29=Data!$E$20,O29=Data!$E$21)," ","?")</f>
        <v>?</v>
      </c>
      <c r="AD14" s="3" t="str">
        <f>IF(OR(O29=Data!$E$4,O29=Data!$E$5,O29=Data!$E$6,O29=Data!$E$7,O29=Data!$E$8,O29=Data!$E$9,O29=Data!$E$18,O29=Data!$E$19,O29=Data!$E$20,O29=Data!$E$21)," ","?")</f>
        <v>?</v>
      </c>
      <c r="AE14" s="3" t="str">
        <f>IF(OR(O29=Data!$E$20,O29=Data!$E$21)," ","?")</f>
        <v>?</v>
      </c>
      <c r="AF14" s="3" t="str">
        <f>IF(OR(O29=Data!$E$7,O29=Data!$E$5,O29=Data!$E$6,O29=Data!$E$8,O29=Data!$E$9,O29=Data!$E$10,O29=Data!$E$11,O29=Data!$E$21,O29=Data!$E$20,O29=Data!$E$19,O29=Data!$E$18,O29=Data!$E$4)," ","?")</f>
        <v>?</v>
      </c>
      <c r="AG14" s="3" t="str">
        <f>IF(OR(O29=Data!$E$7,O29=Data!$E$5,O29=Data!$E$6,O29=Data!$E$8,O29=Data!$E$9,O29=Data!$E$10,O29=Data!$E$11,O29=Data!$E$21,O29=Data!$E$20,O29=Data!$E$19,O29=Data!$E$18,O29=Data!$E$4)," ","?")</f>
        <v>?</v>
      </c>
      <c r="AH14" s="3" t="str">
        <f>IF(OR(O29=Data!$E$21)," ","?")</f>
        <v>?</v>
      </c>
      <c r="AI14" s="3" t="str">
        <f>IF(OR(O29=Data!$E$7,O29=Data!$E$5,O29=Data!$E$6,O29=Data!$E$8,O29=Data!$E$21,O29=Data!$E$20,O29=Data!$E$19,O29=Data!$E$18,O29=Data!$E$4)," ","?")</f>
        <v>?</v>
      </c>
      <c r="AJ14" s="3" t="str">
        <f>IF(OR(O29=Data!$E$21)," ","?")</f>
        <v>?</v>
      </c>
    </row>
    <row r="15" spans="2:37" x14ac:dyDescent="0.25">
      <c r="B15" s="3" t="s">
        <v>111</v>
      </c>
      <c r="E15" s="1" t="s">
        <v>167</v>
      </c>
      <c r="F15" s="49" t="s">
        <v>75</v>
      </c>
      <c r="G15" s="50">
        <v>0.3</v>
      </c>
      <c r="H15" s="15" t="s">
        <v>89</v>
      </c>
      <c r="I15" s="41"/>
      <c r="J15" s="16" t="s">
        <v>89</v>
      </c>
      <c r="K15" s="3">
        <v>100000</v>
      </c>
      <c r="L15" s="3">
        <v>0.98</v>
      </c>
      <c r="N15" s="7" t="s">
        <v>96</v>
      </c>
      <c r="O15" s="7" t="s">
        <v>87</v>
      </c>
      <c r="P15" s="7" t="s">
        <v>106</v>
      </c>
      <c r="Q15" s="7">
        <v>55</v>
      </c>
      <c r="R15" s="7">
        <v>90</v>
      </c>
      <c r="S15" s="7">
        <v>125</v>
      </c>
      <c r="AA15" s="3">
        <v>13</v>
      </c>
      <c r="AB15" s="3" t="str">
        <f>IF(OR(O30=Data!$E$9,O30=Data!$E$10,O30=Data!$E$11,O30=Data!$E$12,O30=Data!$E$13,O30=Data!$E$14,O30=Data!$E$15,O30=Data!$E$16,O30=Data!$E$17,O30=Data!$E$18,O30=Data!$E$19,O30=Data!$E$20,O30=Data!$E$21)," ","?")</f>
        <v>?</v>
      </c>
      <c r="AC15" s="3" t="str">
        <f>IF(OR(O30=Data!$E$4,O30=Data!$E$5,O30=Data!$E$6,O30=Data!$E$7,O30=Data!$E$8,O30=Data!$E$9,O30=Data!$E$10,O30=Data!$E$11,O30=Data!$E$18,O30=Data!$E$19,O30=Data!$E$20,O30=Data!$E$21)," ","?")</f>
        <v>?</v>
      </c>
      <c r="AD15" s="3" t="str">
        <f>IF(OR(O30=Data!$E$4,O30=Data!$E$5,O30=Data!$E$6,O30=Data!$E$7,O30=Data!$E$8,O30=Data!$E$9,O30=Data!$E$18,O30=Data!$E$19,O30=Data!$E$20,O30=Data!$E$21)," ","?")</f>
        <v>?</v>
      </c>
      <c r="AE15" s="3" t="str">
        <f>IF(OR(O30=Data!$E$20,O30=Data!$E$21)," ","?")</f>
        <v>?</v>
      </c>
      <c r="AF15" s="3" t="str">
        <f>IF(OR(O30=Data!$E$7,O30=Data!$E$5,O30=Data!$E$6,O30=Data!$E$8,O30=Data!$E$9,O30=Data!$E$10,O30=Data!$E$11,O30=Data!$E$21,O30=Data!$E$20,O30=Data!$E$19,O30=Data!$E$18,O30=Data!$E$4)," ","?")</f>
        <v>?</v>
      </c>
      <c r="AG15" s="3" t="str">
        <f>IF(OR(O30=Data!$E$7,O30=Data!$E$5,O30=Data!$E$6,O30=Data!$E$8,O30=Data!$E$9,O30=Data!$E$10,O30=Data!$E$11,O30=Data!$E$21,O30=Data!$E$20,O30=Data!$E$19,O30=Data!$E$18,O30=Data!$E$4)," ","?")</f>
        <v>?</v>
      </c>
      <c r="AH15" s="3" t="str">
        <f>IF(OR(O30=Data!$E$21)," ","?")</f>
        <v>?</v>
      </c>
      <c r="AI15" s="3" t="str">
        <f>IF(OR(O30=Data!$E$7,O30=Data!$E$5,O30=Data!$E$6,O30=Data!$E$8,O30=Data!$E$21,O30=Data!$E$20,O30=Data!$E$19,O30=Data!$E$18,O30=Data!$E$4)," ","?")</f>
        <v>?</v>
      </c>
      <c r="AJ15" s="3" t="str">
        <f>IF(OR(O30=Data!$E$21)," ","?")</f>
        <v>?</v>
      </c>
    </row>
    <row r="16" spans="2:37" x14ac:dyDescent="0.25">
      <c r="B16" s="3" t="s">
        <v>113</v>
      </c>
      <c r="E16" s="1" t="s">
        <v>246</v>
      </c>
      <c r="F16" s="7" t="s">
        <v>193</v>
      </c>
      <c r="G16" s="15">
        <v>0.5</v>
      </c>
      <c r="H16" s="15" t="s">
        <v>0</v>
      </c>
      <c r="I16" s="15" t="s">
        <v>87</v>
      </c>
      <c r="J16" s="16" t="s">
        <v>0</v>
      </c>
      <c r="K16" s="3">
        <v>1000000</v>
      </c>
      <c r="L16" s="3">
        <v>1</v>
      </c>
      <c r="N16" s="7"/>
      <c r="O16" s="7" t="s">
        <v>2</v>
      </c>
      <c r="P16" s="7" t="s">
        <v>106</v>
      </c>
      <c r="Q16" s="7">
        <v>55</v>
      </c>
      <c r="R16" s="7">
        <v>90</v>
      </c>
      <c r="S16" s="7">
        <v>125</v>
      </c>
      <c r="AA16" s="3">
        <v>14</v>
      </c>
      <c r="AB16" s="3" t="str">
        <f>IF(OR(O31=Data!$E$9,O31=Data!$E$10,O31=Data!$E$11,O31=Data!$E$12,O31=Data!$E$13,O31=Data!$E$14,O31=Data!$E$15,O31=Data!$E$16,O31=Data!$E$17,O31=Data!$E$18,O31=Data!$E$19,O31=Data!$E$20,O31=Data!$E$21)," ","?")</f>
        <v>?</v>
      </c>
      <c r="AC16" s="3" t="str">
        <f>IF(OR(O31=Data!$E$4,O31=Data!$E$5,O31=Data!$E$6,O31=Data!$E$7,O31=Data!$E$8,O31=Data!$E$9,O31=Data!$E$10,O31=Data!$E$11,O31=Data!$E$18,O31=Data!$E$19,O31=Data!$E$20,O31=Data!$E$21)," ","?")</f>
        <v>?</v>
      </c>
      <c r="AD16" s="3" t="str">
        <f>IF(OR(O31=Data!$E$4,O31=Data!$E$5,O31=Data!$E$6,O31=Data!$E$7,O31=Data!$E$8,O31=Data!$E$9,O31=Data!$E$18,O31=Data!$E$19,O31=Data!$E$20,O31=Data!$E$21)," ","?")</f>
        <v>?</v>
      </c>
      <c r="AE16" s="3" t="str">
        <f>IF(OR(O31=Data!$E$20,O31=Data!$E$21)," ","?")</f>
        <v>?</v>
      </c>
      <c r="AF16" s="3" t="str">
        <f>IF(OR(O31=Data!$E$7,O31=Data!$E$5,O31=Data!$E$6,O31=Data!$E$8,O31=Data!$E$9,O31=Data!$E$10,O31=Data!$E$11,O31=Data!$E$21,O31=Data!$E$20,O31=Data!$E$19,O31=Data!$E$18,O31=Data!$E$4)," ","?")</f>
        <v>?</v>
      </c>
      <c r="AG16" s="3" t="str">
        <f>IF(OR(O31=Data!$E$7,O31=Data!$E$5,O31=Data!$E$6,O31=Data!$E$8,O31=Data!$E$9,O31=Data!$E$10,O31=Data!$E$11,O31=Data!$E$21,O31=Data!$E$20,O31=Data!$E$19,O31=Data!$E$18,O31=Data!$E$4)," ","?")</f>
        <v>?</v>
      </c>
      <c r="AH16" s="3" t="str">
        <f>IF(OR(O31=Data!$E$21)," ","?")</f>
        <v>?</v>
      </c>
      <c r="AI16" s="3" t="str">
        <f>IF(OR(O31=Data!$E$7,O31=Data!$E$5,O31=Data!$E$6,O31=Data!$E$8,O31=Data!$E$21,O31=Data!$E$20,O31=Data!$E$19,O31=Data!$E$18,O31=Data!$E$4)," ","?")</f>
        <v>?</v>
      </c>
      <c r="AJ16" s="3" t="str">
        <f>IF(OR(O31=Data!$E$21)," ","?")</f>
        <v>?</v>
      </c>
    </row>
    <row r="17" spans="2:36" x14ac:dyDescent="0.25">
      <c r="B17" s="3" t="s">
        <v>115</v>
      </c>
      <c r="E17" s="1" t="s">
        <v>247</v>
      </c>
      <c r="F17" s="49" t="s">
        <v>114</v>
      </c>
      <c r="G17" s="15">
        <v>0.3</v>
      </c>
      <c r="H17" s="15" t="s">
        <v>89</v>
      </c>
      <c r="I17" s="41"/>
      <c r="J17" s="16" t="s">
        <v>89</v>
      </c>
      <c r="N17" s="7"/>
      <c r="O17" s="7" t="s">
        <v>92</v>
      </c>
      <c r="P17" s="7" t="s">
        <v>88</v>
      </c>
      <c r="Q17" s="7">
        <v>25</v>
      </c>
      <c r="R17" s="7">
        <v>55</v>
      </c>
      <c r="S17" s="7">
        <v>90</v>
      </c>
      <c r="AA17" s="3">
        <v>15</v>
      </c>
      <c r="AB17" s="3" t="str">
        <f>IF(OR(O32=Data!$E$9,O32=Data!$E$10,O32=Data!$E$11,O32=Data!$E$12,O32=Data!$E$13,O32=Data!$E$14,O32=Data!$E$15,O32=Data!$E$16,O32=Data!$E$17,O32=Data!$E$18,O32=Data!$E$19,O32=Data!$E$20,O32=Data!$E$21)," ","?")</f>
        <v>?</v>
      </c>
      <c r="AC17" s="3" t="str">
        <f>IF(OR(O32=Data!$E$4,O32=Data!$E$5,O32=Data!$E$6,O32=Data!$E$7,O32=Data!$E$8,O32=Data!$E$9,O32=Data!$E$10,O32=Data!$E$11,O32=Data!$E$18,O32=Data!$E$19,O32=Data!$E$20,O32=Data!$E$21)," ","?")</f>
        <v>?</v>
      </c>
      <c r="AD17" s="3" t="str">
        <f>IF(OR(O32=Data!$E$4,O32=Data!$E$5,O32=Data!$E$6,O32=Data!$E$7,O32=Data!$E$8,O32=Data!$E$9,O32=Data!$E$18,O32=Data!$E$19,O32=Data!$E$20,O32=Data!$E$21)," ","?")</f>
        <v>?</v>
      </c>
      <c r="AE17" s="3" t="str">
        <f>IF(OR(O32=Data!$E$20,O32=Data!$E$21)," ","?")</f>
        <v>?</v>
      </c>
      <c r="AF17" s="3" t="str">
        <f>IF(OR(O32=Data!$E$7,O32=Data!$E$5,O32=Data!$E$6,O32=Data!$E$8,O32=Data!$E$9,O32=Data!$E$10,O32=Data!$E$11,O32=Data!$E$21,O32=Data!$E$20,O32=Data!$E$19,O32=Data!$E$18,O32=Data!$E$4)," ","?")</f>
        <v>?</v>
      </c>
      <c r="AG17" s="3" t="str">
        <f>IF(OR(O32=Data!$E$7,O32=Data!$E$5,O32=Data!$E$6,O32=Data!$E$8,O32=Data!$E$9,O32=Data!$E$10,O32=Data!$E$11,O32=Data!$E$21,O32=Data!$E$20,O32=Data!$E$19,O32=Data!$E$18,O32=Data!$E$4)," ","?")</f>
        <v>?</v>
      </c>
      <c r="AH17" s="3" t="str">
        <f>IF(OR(O32=Data!$E$21)," ","?")</f>
        <v>?</v>
      </c>
      <c r="AI17" s="3" t="str">
        <f>IF(OR(O32=Data!$E$7,O32=Data!$E$5,O32=Data!$E$6,O32=Data!$E$8,O32=Data!$E$21,O32=Data!$E$20,O32=Data!$E$19,O32=Data!$E$18,O32=Data!$E$4)," ","?")</f>
        <v>?</v>
      </c>
      <c r="AJ17" s="3" t="str">
        <f>IF(OR(O32=Data!$E$21)," ","?")</f>
        <v>?</v>
      </c>
    </row>
    <row r="18" spans="2:36" x14ac:dyDescent="0.25">
      <c r="B18" s="3" t="s">
        <v>117</v>
      </c>
      <c r="E18" s="1" t="s">
        <v>235</v>
      </c>
      <c r="F18" s="7" t="s">
        <v>327</v>
      </c>
      <c r="G18" s="15">
        <v>0.9</v>
      </c>
      <c r="H18" s="15" t="s">
        <v>0</v>
      </c>
      <c r="I18" s="42" t="s">
        <v>2</v>
      </c>
      <c r="J18" s="15" t="s">
        <v>0</v>
      </c>
      <c r="K18" s="3" t="s">
        <v>378</v>
      </c>
      <c r="L18" s="3">
        <f>(L12-L11)/(K12-K11)</f>
        <v>1.0000000000000002E-3</v>
      </c>
      <c r="N18" s="7" t="s">
        <v>99</v>
      </c>
      <c r="O18" s="7" t="s">
        <v>87</v>
      </c>
      <c r="P18" s="7" t="s">
        <v>106</v>
      </c>
      <c r="Q18" s="7">
        <v>55</v>
      </c>
      <c r="R18" s="7">
        <v>90</v>
      </c>
      <c r="S18" s="7">
        <v>125</v>
      </c>
      <c r="AA18" s="3">
        <v>16</v>
      </c>
      <c r="AB18" s="3" t="str">
        <f>IF(OR(O33=Data!$E$9,O33=Data!$E$10,O33=Data!$E$11,O33=Data!$E$12,O33=Data!$E$13,O33=Data!$E$14,O33=Data!$E$15,O33=Data!$E$16,O33=Data!$E$17,O33=Data!$E$18,O33=Data!$E$19,O33=Data!$E$20,O33=Data!$E$21)," ","?")</f>
        <v>?</v>
      </c>
      <c r="AC18" s="3" t="str">
        <f>IF(OR(O33=Data!$E$4,O33=Data!$E$5,O33=Data!$E$6,O33=Data!$E$7,O33=Data!$E$8,O33=Data!$E$9,O33=Data!$E$10,O33=Data!$E$11,O33=Data!$E$18,O33=Data!$E$19,O33=Data!$E$20,O33=Data!$E$21)," ","?")</f>
        <v>?</v>
      </c>
      <c r="AD18" s="3" t="str">
        <f>IF(OR(O33=Data!$E$4,O33=Data!$E$5,O33=Data!$E$6,O33=Data!$E$7,O33=Data!$E$8,O33=Data!$E$9,O33=Data!$E$18,O33=Data!$E$19,O33=Data!$E$20,O33=Data!$E$21)," ","?")</f>
        <v>?</v>
      </c>
      <c r="AE18" s="3" t="str">
        <f>IF(OR(O33=Data!$E$20,O33=Data!$E$21)," ","?")</f>
        <v>?</v>
      </c>
      <c r="AF18" s="3" t="str">
        <f>IF(OR(O33=Data!$E$7,O33=Data!$E$5,O33=Data!$E$6,O33=Data!$E$8,O33=Data!$E$9,O33=Data!$E$10,O33=Data!$E$11,O33=Data!$E$21,O33=Data!$E$20,O33=Data!$E$19,O33=Data!$E$18,O33=Data!$E$4)," ","?")</f>
        <v>?</v>
      </c>
      <c r="AG18" s="3" t="str">
        <f>IF(OR(O33=Data!$E$7,O33=Data!$E$5,O33=Data!$E$6,O33=Data!$E$8,O33=Data!$E$9,O33=Data!$E$10,O33=Data!$E$11,O33=Data!$E$21,O33=Data!$E$20,O33=Data!$E$19,O33=Data!$E$18,O33=Data!$E$4)," ","?")</f>
        <v>?</v>
      </c>
      <c r="AH18" s="3" t="str">
        <f>IF(OR(O33=Data!$E$21)," ","?")</f>
        <v>?</v>
      </c>
      <c r="AI18" s="3" t="str">
        <f>IF(OR(O33=Data!$E$7,O33=Data!$E$5,O33=Data!$E$6,O33=Data!$E$8,O33=Data!$E$21,O33=Data!$E$20,O33=Data!$E$19,O33=Data!$E$18,O33=Data!$E$4)," ","?")</f>
        <v>?</v>
      </c>
      <c r="AJ18" s="3" t="str">
        <f>IF(OR(O33=Data!$E$21)," ","?")</f>
        <v>?</v>
      </c>
    </row>
    <row r="19" spans="2:36" x14ac:dyDescent="0.25">
      <c r="E19" s="1" t="s">
        <v>168</v>
      </c>
      <c r="F19" s="7" t="s">
        <v>75</v>
      </c>
      <c r="G19" s="15">
        <v>0.3</v>
      </c>
      <c r="H19" s="15" t="s">
        <v>0</v>
      </c>
      <c r="I19" s="42" t="s">
        <v>2</v>
      </c>
      <c r="J19" s="48" t="s">
        <v>0</v>
      </c>
      <c r="K19" s="3" t="s">
        <v>379</v>
      </c>
      <c r="L19" s="3">
        <f>(L13-L12)/(K13-K12)</f>
        <v>2.2222222222222223E-4</v>
      </c>
      <c r="N19" s="7"/>
      <c r="O19" s="7" t="s">
        <v>2</v>
      </c>
      <c r="P19" s="7" t="s">
        <v>106</v>
      </c>
      <c r="Q19" s="7">
        <v>55</v>
      </c>
      <c r="R19" s="7">
        <v>90</v>
      </c>
      <c r="S19" s="7">
        <v>125</v>
      </c>
      <c r="AA19" s="3">
        <v>17</v>
      </c>
      <c r="AB19" s="3" t="str">
        <f>IF(OR(O34=Data!$E$9,O34=Data!$E$10,O34=Data!$E$11,O34=Data!$E$12,O34=Data!$E$13,O34=Data!$E$14,O34=Data!$E$15,O34=Data!$E$16,O34=Data!$E$17,O34=Data!$E$18,O34=Data!$E$19,O34=Data!$E$20,O34=Data!$E$21)," ","?")</f>
        <v>?</v>
      </c>
      <c r="AC19" s="3" t="str">
        <f>IF(OR(O34=Data!$E$4,O34=Data!$E$5,O34=Data!$E$6,O34=Data!$E$7,O34=Data!$E$8,O34=Data!$E$9,O34=Data!$E$10,O34=Data!$E$11,O34=Data!$E$18,O34=Data!$E$19,O34=Data!$E$20,O34=Data!$E$21)," ","?")</f>
        <v>?</v>
      </c>
      <c r="AD19" s="3" t="str">
        <f>IF(OR(O34=Data!$E$4,O34=Data!$E$5,O34=Data!$E$6,O34=Data!$E$7,O34=Data!$E$8,O34=Data!$E$9,O34=Data!$E$18,O34=Data!$E$19,O34=Data!$E$20,O34=Data!$E$21)," ","?")</f>
        <v>?</v>
      </c>
      <c r="AE19" s="3" t="str">
        <f>IF(OR(O34=Data!$E$20,O34=Data!$E$21)," ","?")</f>
        <v>?</v>
      </c>
      <c r="AF19" s="3" t="str">
        <f>IF(OR(O34=Data!$E$7,O34=Data!$E$5,O34=Data!$E$6,O34=Data!$E$8,O34=Data!$E$9,O34=Data!$E$10,O34=Data!$E$11,O34=Data!$E$21,O34=Data!$E$20,O34=Data!$E$19,O34=Data!$E$18,O34=Data!$E$4)," ","?")</f>
        <v>?</v>
      </c>
      <c r="AG19" s="3" t="str">
        <f>IF(OR(O34=Data!$E$7,O34=Data!$E$5,O34=Data!$E$6,O34=Data!$E$8,O34=Data!$E$9,O34=Data!$E$10,O34=Data!$E$11,O34=Data!$E$21,O34=Data!$E$20,O34=Data!$E$19,O34=Data!$E$18,O34=Data!$E$4)," ","?")</f>
        <v>?</v>
      </c>
      <c r="AH19" s="3" t="str">
        <f>IF(OR(O34=Data!$E$21)," ","?")</f>
        <v>?</v>
      </c>
      <c r="AI19" s="3" t="str">
        <f>IF(OR(O34=Data!$E$7,O34=Data!$E$5,O34=Data!$E$6,O34=Data!$E$8,O34=Data!$E$21,O34=Data!$E$20,O34=Data!$E$19,O34=Data!$E$18,O34=Data!$E$4)," ","?")</f>
        <v>?</v>
      </c>
      <c r="AJ19" s="3" t="str">
        <f>IF(OR(O34=Data!$E$21)," ","?")</f>
        <v>?</v>
      </c>
    </row>
    <row r="20" spans="2:36" x14ac:dyDescent="0.25">
      <c r="E20" s="1" t="s">
        <v>244</v>
      </c>
      <c r="F20" s="49" t="s">
        <v>326</v>
      </c>
      <c r="G20" s="15">
        <v>1</v>
      </c>
      <c r="H20" s="15" t="s">
        <v>0</v>
      </c>
      <c r="I20" s="15" t="s">
        <v>92</v>
      </c>
      <c r="J20" s="16" t="s">
        <v>0</v>
      </c>
      <c r="K20" s="3" t="s">
        <v>380</v>
      </c>
      <c r="L20" s="3">
        <f>(L14-L13)/(K14-K13)</f>
        <v>2.7777777777777779E-5</v>
      </c>
      <c r="N20" s="7"/>
      <c r="O20" s="7" t="s">
        <v>92</v>
      </c>
      <c r="P20" s="7" t="s">
        <v>88</v>
      </c>
      <c r="Q20" s="7">
        <v>25</v>
      </c>
      <c r="R20" s="7">
        <v>55</v>
      </c>
      <c r="S20" s="7">
        <v>90</v>
      </c>
      <c r="AA20" s="3">
        <v>18</v>
      </c>
      <c r="AB20" s="3" t="str">
        <f>IF(OR(O35=Data!$E$9,O35=Data!$E$10,O35=Data!$E$11,O35=Data!$E$12,O35=Data!$E$13,O35=Data!$E$14,O35=Data!$E$15,O35=Data!$E$16,O35=Data!$E$17,O35=Data!$E$18,O35=Data!$E$19,O35=Data!$E$20,O35=Data!$E$21)," ","?")</f>
        <v>?</v>
      </c>
      <c r="AC20" s="3" t="str">
        <f>IF(OR(O35=Data!$E$4,O35=Data!$E$5,O35=Data!$E$6,O35=Data!$E$7,O35=Data!$E$8,O35=Data!$E$9,O35=Data!$E$10,O35=Data!$E$11,O35=Data!$E$18,O35=Data!$E$19,O35=Data!$E$20,O35=Data!$E$21)," ","?")</f>
        <v>?</v>
      </c>
      <c r="AD20" s="3" t="str">
        <f>IF(OR(O35=Data!$E$4,O35=Data!$E$5,O35=Data!$E$6,O35=Data!$E$7,O35=Data!$E$8,O35=Data!$E$9,O35=Data!$E$18,O35=Data!$E$19,O35=Data!$E$20,O35=Data!$E$21)," ","?")</f>
        <v>?</v>
      </c>
      <c r="AE20" s="3" t="str">
        <f>IF(OR(O35=Data!$E$20,O35=Data!$E$21)," ","?")</f>
        <v>?</v>
      </c>
      <c r="AF20" s="3" t="str">
        <f>IF(OR(O35=Data!$E$7,O35=Data!$E$5,O35=Data!$E$6,O35=Data!$E$8,O35=Data!$E$9,O35=Data!$E$10,O35=Data!$E$11,O35=Data!$E$21,O35=Data!$E$20,O35=Data!$E$19,O35=Data!$E$18,O35=Data!$E$4)," ","?")</f>
        <v>?</v>
      </c>
      <c r="AG20" s="3" t="str">
        <f>IF(OR(O35=Data!$E$7,O35=Data!$E$5,O35=Data!$E$6,O35=Data!$E$8,O35=Data!$E$9,O35=Data!$E$10,O35=Data!$E$11,O35=Data!$E$21,O35=Data!$E$20,O35=Data!$E$19,O35=Data!$E$18,O35=Data!$E$4)," ","?")</f>
        <v>?</v>
      </c>
      <c r="AH20" s="3" t="str">
        <f>IF(OR(O35=Data!$E$21)," ","?")</f>
        <v>?</v>
      </c>
      <c r="AI20" s="3" t="str">
        <f>IF(OR(O35=Data!$E$7,O35=Data!$E$5,O35=Data!$E$6,O35=Data!$E$8,O35=Data!$E$21,O35=Data!$E$20,O35=Data!$E$19,O35=Data!$E$18,O35=Data!$E$4)," ","?")</f>
        <v>?</v>
      </c>
      <c r="AJ20" s="3" t="str">
        <f>IF(OR(O35=Data!$E$21)," ","?")</f>
        <v>?</v>
      </c>
    </row>
    <row r="21" spans="2:36" x14ac:dyDescent="0.25">
      <c r="E21" s="1" t="s">
        <v>243</v>
      </c>
      <c r="F21" s="49" t="s">
        <v>118</v>
      </c>
      <c r="G21" s="15">
        <v>0.05</v>
      </c>
      <c r="H21" s="15" t="s">
        <v>89</v>
      </c>
      <c r="I21" s="41"/>
      <c r="J21" s="16" t="s">
        <v>89</v>
      </c>
      <c r="K21" s="3" t="s">
        <v>381</v>
      </c>
      <c r="L21" s="3">
        <f>(L15-L14)/(K15-K14)</f>
        <v>8.8888888888888845E-7</v>
      </c>
      <c r="N21" s="7" t="s">
        <v>100</v>
      </c>
      <c r="O21" s="7" t="s">
        <v>87</v>
      </c>
      <c r="P21" s="7" t="s">
        <v>106</v>
      </c>
      <c r="Q21" s="7">
        <v>55</v>
      </c>
      <c r="R21" s="7">
        <v>90</v>
      </c>
      <c r="S21" s="7">
        <v>125</v>
      </c>
      <c r="AA21" s="3">
        <v>19</v>
      </c>
      <c r="AB21" s="3" t="str">
        <f>IF(OR(O36=Data!$E$9,O36=Data!$E$10,O36=Data!$E$11,O36=Data!$E$12,O36=Data!$E$13,O36=Data!$E$14,O36=Data!$E$15,O36=Data!$E$16,O36=Data!$E$17,O36=Data!$E$18,O36=Data!$E$19,O36=Data!$E$20,O36=Data!$E$21)," ","?")</f>
        <v>?</v>
      </c>
      <c r="AC21" s="3" t="str">
        <f>IF(OR(O36=Data!$E$4,O36=Data!$E$5,O36=Data!$E$6,O36=Data!$E$7,O36=Data!$E$8,O36=Data!$E$9,O36=Data!$E$10,O36=Data!$E$11,O36=Data!$E$18,O36=Data!$E$19,O36=Data!$E$20,O36=Data!$E$21)," ","?")</f>
        <v>?</v>
      </c>
      <c r="AD21" s="3" t="str">
        <f>IF(OR(O36=Data!$E$4,O36=Data!$E$5,O36=Data!$E$6,O36=Data!$E$7,O36=Data!$E$8,O36=Data!$E$9,O36=Data!$E$18,O36=Data!$E$19,O36=Data!$E$20,O36=Data!$E$21)," ","?")</f>
        <v>?</v>
      </c>
      <c r="AE21" s="3" t="str">
        <f>IF(OR(O36=Data!$E$20,O36=Data!$E$21)," ","?")</f>
        <v>?</v>
      </c>
      <c r="AF21" s="3" t="str">
        <f>IF(OR(O36=Data!$E$7,O36=Data!$E$5,O36=Data!$E$6,O36=Data!$E$8,O36=Data!$E$9,O36=Data!$E$10,O36=Data!$E$11,O36=Data!$E$21,O36=Data!$E$20,O36=Data!$E$19,O36=Data!$E$18,O36=Data!$E$4)," ","?")</f>
        <v>?</v>
      </c>
      <c r="AG21" s="3" t="str">
        <f>IF(OR(O36=Data!$E$7,O36=Data!$E$5,O36=Data!$E$6,O36=Data!$E$8,O36=Data!$E$9,O36=Data!$E$10,O36=Data!$E$11,O36=Data!$E$21,O36=Data!$E$20,O36=Data!$E$19,O36=Data!$E$18,O36=Data!$E$4)," ","?")</f>
        <v>?</v>
      </c>
      <c r="AH21" s="3" t="str">
        <f>IF(OR(O36=Data!$E$21)," ","?")</f>
        <v>?</v>
      </c>
      <c r="AI21" s="3" t="str">
        <f>IF(OR(O36=Data!$E$7,O36=Data!$E$5,O36=Data!$E$6,O36=Data!$E$8,O36=Data!$E$21,O36=Data!$E$20,O36=Data!$E$19,O36=Data!$E$18,O36=Data!$E$4)," ","?")</f>
        <v>?</v>
      </c>
      <c r="AJ21" s="3" t="str">
        <f>IF(OR(O36=Data!$E$21)," ","?")</f>
        <v>?</v>
      </c>
    </row>
    <row r="22" spans="2:36" x14ac:dyDescent="0.25">
      <c r="K22" s="3" t="s">
        <v>382</v>
      </c>
      <c r="L22" s="3">
        <f>(L16-L15)/(K16-K15)</f>
        <v>2.222222222222224E-8</v>
      </c>
      <c r="N22" s="7"/>
      <c r="O22" s="7" t="s">
        <v>2</v>
      </c>
      <c r="P22" s="7" t="s">
        <v>106</v>
      </c>
      <c r="Q22" s="7">
        <v>55</v>
      </c>
      <c r="R22" s="7">
        <v>90</v>
      </c>
      <c r="S22" s="7">
        <v>125</v>
      </c>
      <c r="AA22" s="3">
        <v>20</v>
      </c>
      <c r="AB22" s="3" t="str">
        <f>IF(OR(O37=Data!$E$9,O37=Data!$E$10,O37=Data!$E$11,O37=Data!$E$12,O37=Data!$E$13,O37=Data!$E$14,O37=Data!$E$15,O37=Data!$E$16,O37=Data!$E$17,O37=Data!$E$18,O37=Data!$E$19,O37=Data!$E$20,O37=Data!$E$21)," ","?")</f>
        <v>?</v>
      </c>
      <c r="AC22" s="3" t="str">
        <f>IF(OR(O37=Data!$E$4,O37=Data!$E$5,O37=Data!$E$6,O37=Data!$E$7,O37=Data!$E$8,O37=Data!$E$9,O37=Data!$E$10,O37=Data!$E$11,O37=Data!$E$18,O37=Data!$E$19,O37=Data!$E$20,O37=Data!$E$21)," ","?")</f>
        <v>?</v>
      </c>
      <c r="AD22" s="3" t="str">
        <f>IF(OR(O37=Data!$E$4,O37=Data!$E$5,O37=Data!$E$6,O37=Data!$E$7,O37=Data!$E$8,O37=Data!$E$9,O37=Data!$E$18,O37=Data!$E$19,O37=Data!$E$20,O37=Data!$E$21)," ","?")</f>
        <v>?</v>
      </c>
      <c r="AE22" s="3" t="str">
        <f>IF(OR(O37=Data!$E$20,O37=Data!$E$21)," ","?")</f>
        <v>?</v>
      </c>
      <c r="AF22" s="3" t="str">
        <f>IF(OR(O37=Data!$E$7,O37=Data!$E$5,O37=Data!$E$6,O37=Data!$E$8,O37=Data!$E$9,O37=Data!$E$10,O37=Data!$E$11,O37=Data!$E$21,O37=Data!$E$20,O37=Data!$E$19,O37=Data!$E$18,O37=Data!$E$4)," ","?")</f>
        <v>?</v>
      </c>
      <c r="AG22" s="3" t="str">
        <f>IF(OR(O37=Data!$E$7,O37=Data!$E$5,O37=Data!$E$6,O37=Data!$E$8,O37=Data!$E$9,O37=Data!$E$10,O37=Data!$E$11,O37=Data!$E$21,O37=Data!$E$20,O37=Data!$E$19,O37=Data!$E$18,O37=Data!$E$4)," ","?")</f>
        <v>?</v>
      </c>
      <c r="AH22" s="3" t="str">
        <f>IF(OR(O37=Data!$E$21)," ","?")</f>
        <v>?</v>
      </c>
      <c r="AI22" s="3" t="str">
        <f>IF(OR(O37=Data!$E$7,O37=Data!$E$5,O37=Data!$E$6,O37=Data!$E$8,O37=Data!$E$21,O37=Data!$E$20,O37=Data!$E$19,O37=Data!$E$18,O37=Data!$E$4)," ","?")</f>
        <v>?</v>
      </c>
      <c r="AJ22" s="3" t="str">
        <f>IF(OR(O37=Data!$E$21)," ","?")</f>
        <v>?</v>
      </c>
    </row>
    <row r="23" spans="2:36" x14ac:dyDescent="0.25">
      <c r="K23" s="3" t="s">
        <v>383</v>
      </c>
      <c r="L23" s="3">
        <v>0</v>
      </c>
      <c r="N23" s="7"/>
      <c r="O23" s="7" t="s">
        <v>92</v>
      </c>
      <c r="P23" s="7" t="s">
        <v>88</v>
      </c>
      <c r="Q23" s="7">
        <v>25</v>
      </c>
      <c r="R23" s="7">
        <v>55</v>
      </c>
      <c r="S23" s="7">
        <v>90</v>
      </c>
      <c r="AA23" s="3">
        <v>21</v>
      </c>
      <c r="AB23" s="3" t="str">
        <f>IF(OR(O38=Data!$E$9,O38=Data!$E$10,O38=Data!$E$11,O38=Data!$E$12,O38=Data!$E$13,O38=Data!$E$14,O38=Data!$E$15,O38=Data!$E$16,O38=Data!$E$17,O38=Data!$E$18,O38=Data!$E$19,O38=Data!$E$20,O38=Data!$E$21)," ","?")</f>
        <v>?</v>
      </c>
      <c r="AC23" s="3" t="str">
        <f>IF(OR(O38=Data!$E$4,O38=Data!$E$5,O38=Data!$E$6,O38=Data!$E$7,O38=Data!$E$8,O38=Data!$E$9,O38=Data!$E$10,O38=Data!$E$11,O38=Data!$E$18,O38=Data!$E$19,O38=Data!$E$20,O38=Data!$E$21)," ","?")</f>
        <v>?</v>
      </c>
      <c r="AD23" s="3" t="str">
        <f>IF(OR(O38=Data!$E$4,O38=Data!$E$5,O38=Data!$E$6,O38=Data!$E$7,O38=Data!$E$8,O38=Data!$E$9,O38=Data!$E$18,O38=Data!$E$19,O38=Data!$E$20,O38=Data!$E$21)," ","?")</f>
        <v>?</v>
      </c>
      <c r="AE23" s="3" t="str">
        <f>IF(OR(O38=Data!$E$20,O38=Data!$E$21)," ","?")</f>
        <v>?</v>
      </c>
      <c r="AF23" s="3" t="str">
        <f>IF(OR(O38=Data!$E$7,O38=Data!$E$5,O38=Data!$E$6,O38=Data!$E$8,O38=Data!$E$9,O38=Data!$E$10,O38=Data!$E$11,O38=Data!$E$21,O38=Data!$E$20,O38=Data!$E$19,O38=Data!$E$18,O38=Data!$E$4)," ","?")</f>
        <v>?</v>
      </c>
      <c r="AG23" s="3" t="str">
        <f>IF(OR(O38=Data!$E$7,O38=Data!$E$5,O38=Data!$E$6,O38=Data!$E$8,O38=Data!$E$9,O38=Data!$E$10,O38=Data!$E$11,O38=Data!$E$21,O38=Data!$E$20,O38=Data!$E$19,O38=Data!$E$18,O38=Data!$E$4)," ","?")</f>
        <v>?</v>
      </c>
      <c r="AH23" s="3" t="str">
        <f>IF(OR(O38=Data!$E$21)," ","?")</f>
        <v>?</v>
      </c>
      <c r="AI23" s="3" t="str">
        <f>IF(OR(O38=Data!$E$7,O38=Data!$E$5,O38=Data!$E$6,O38=Data!$E$8,O38=Data!$E$21,O38=Data!$E$20,O38=Data!$E$19,O38=Data!$E$18,O38=Data!$E$4)," ","?")</f>
        <v>?</v>
      </c>
      <c r="AJ23" s="3" t="str">
        <f>IF(OR(O38=Data!$E$21)," ","?")</f>
        <v>?</v>
      </c>
    </row>
    <row r="24" spans="2:36" x14ac:dyDescent="0.25">
      <c r="C24" s="5" t="s">
        <v>4</v>
      </c>
      <c r="D24" s="5" t="s">
        <v>10</v>
      </c>
      <c r="E24" s="3" t="s">
        <v>10</v>
      </c>
      <c r="F24" s="5" t="s">
        <v>10</v>
      </c>
      <c r="G24" s="5" t="s">
        <v>10</v>
      </c>
      <c r="H24" s="55" t="s">
        <v>10</v>
      </c>
      <c r="I24" s="5" t="s">
        <v>9</v>
      </c>
      <c r="N24" s="7" t="s">
        <v>102</v>
      </c>
      <c r="O24" s="7" t="s">
        <v>87</v>
      </c>
      <c r="P24" s="7" t="s">
        <v>106</v>
      </c>
      <c r="Q24" s="7">
        <v>55</v>
      </c>
      <c r="R24" s="7">
        <v>90</v>
      </c>
      <c r="S24" s="7">
        <v>125</v>
      </c>
      <c r="AA24" s="3">
        <v>22</v>
      </c>
      <c r="AB24" s="3" t="str">
        <f>IF(OR(O39=Data!$E$9,O39=Data!$E$10,O39=Data!$E$11,O39=Data!$E$12,O39=Data!$E$13,O39=Data!$E$14,O39=Data!$E$15,O39=Data!$E$16,O39=Data!$E$17,O39=Data!$E$18,O39=Data!$E$19,O39=Data!$E$20,O39=Data!$E$21)," ","?")</f>
        <v>?</v>
      </c>
      <c r="AC24" s="3" t="str">
        <f>IF(OR(O39=Data!$E$4,O39=Data!$E$5,O39=Data!$E$6,O39=Data!$E$7,O39=Data!$E$8,O39=Data!$E$9,O39=Data!$E$10,O39=Data!$E$11,O39=Data!$E$18,O39=Data!$E$19,O39=Data!$E$20,O39=Data!$E$21)," ","?")</f>
        <v>?</v>
      </c>
      <c r="AD24" s="3" t="str">
        <f>IF(OR(O39=Data!$E$4,O39=Data!$E$5,O39=Data!$E$6,O39=Data!$E$7,O39=Data!$E$8,O39=Data!$E$9,O39=Data!$E$18,O39=Data!$E$19,O39=Data!$E$20,O39=Data!$E$21)," ","?")</f>
        <v>?</v>
      </c>
      <c r="AE24" s="3" t="str">
        <f>IF(OR(O39=Data!$E$20,O39=Data!$E$21)," ","?")</f>
        <v>?</v>
      </c>
      <c r="AF24" s="3" t="str">
        <f>IF(OR(O39=Data!$E$7,O39=Data!$E$5,O39=Data!$E$6,O39=Data!$E$8,O39=Data!$E$9,O39=Data!$E$10,O39=Data!$E$11,O39=Data!$E$21,O39=Data!$E$20,O39=Data!$E$19,O39=Data!$E$18,O39=Data!$E$4)," ","?")</f>
        <v>?</v>
      </c>
      <c r="AG24" s="3" t="str">
        <f>IF(OR(O39=Data!$E$7,O39=Data!$E$5,O39=Data!$E$6,O39=Data!$E$8,O39=Data!$E$9,O39=Data!$E$10,O39=Data!$E$11,O39=Data!$E$21,O39=Data!$E$20,O39=Data!$E$19,O39=Data!$E$18,O39=Data!$E$4)," ","?")</f>
        <v>?</v>
      </c>
      <c r="AH24" s="3" t="str">
        <f>IF(OR(O39=Data!$E$21)," ","?")</f>
        <v>?</v>
      </c>
      <c r="AI24" s="3" t="str">
        <f>IF(OR(O39=Data!$E$7,O39=Data!$E$5,O39=Data!$E$6,O39=Data!$E$8,O39=Data!$E$21,O39=Data!$E$20,O39=Data!$E$19,O39=Data!$E$18,O39=Data!$E$4)," ","?")</f>
        <v>?</v>
      </c>
      <c r="AJ24" s="3" t="str">
        <f>IF(OR(O39=Data!$E$21)," ","?")</f>
        <v>?</v>
      </c>
    </row>
    <row r="25" spans="2:36" x14ac:dyDescent="0.25">
      <c r="C25" s="5" t="s">
        <v>516</v>
      </c>
      <c r="D25" s="5" t="s">
        <v>8</v>
      </c>
      <c r="E25" s="3" t="s">
        <v>281</v>
      </c>
      <c r="F25" s="5" t="s">
        <v>298</v>
      </c>
      <c r="G25" s="5" t="s">
        <v>303</v>
      </c>
      <c r="H25" s="55" t="s">
        <v>384</v>
      </c>
      <c r="I25" s="3">
        <v>1</v>
      </c>
      <c r="N25" s="7"/>
      <c r="O25" s="7" t="s">
        <v>2</v>
      </c>
      <c r="P25" s="7" t="s">
        <v>106</v>
      </c>
      <c r="Q25" s="7">
        <v>55</v>
      </c>
      <c r="R25" s="7">
        <v>90</v>
      </c>
      <c r="S25" s="7">
        <v>125</v>
      </c>
      <c r="AA25" s="3">
        <v>23</v>
      </c>
      <c r="AB25" s="3" t="str">
        <f>IF(OR(O40=Data!$E$9,O40=Data!$E$10,O40=Data!$E$11,O40=Data!$E$12,O40=Data!$E$13,O40=Data!$E$14,O40=Data!$E$15,O40=Data!$E$16,O40=Data!$E$17,O40=Data!$E$18,O40=Data!$E$19,O40=Data!$E$20,O40=Data!$E$21)," ","?")</f>
        <v>?</v>
      </c>
      <c r="AC25" s="3" t="str">
        <f>IF(OR(O40=Data!$E$4,O40=Data!$E$5,O40=Data!$E$6,O40=Data!$E$7,O40=Data!$E$8,O40=Data!$E$9,O40=Data!$E$10,O40=Data!$E$11,O40=Data!$E$18,O40=Data!$E$19,O40=Data!$E$20,O40=Data!$E$21)," ","?")</f>
        <v>?</v>
      </c>
      <c r="AD25" s="3" t="str">
        <f>IF(OR(O40=Data!$E$4,O40=Data!$E$5,O40=Data!$E$6,O40=Data!$E$7,O40=Data!$E$8,O40=Data!$E$9,O40=Data!$E$18,O40=Data!$E$19,O40=Data!$E$20,O40=Data!$E$21)," ","?")</f>
        <v>?</v>
      </c>
      <c r="AE25" s="3" t="str">
        <f>IF(OR(O40=Data!$E$20,O40=Data!$E$21)," ","?")</f>
        <v>?</v>
      </c>
      <c r="AF25" s="3" t="str">
        <f>IF(OR(O40=Data!$E$7,O40=Data!$E$5,O40=Data!$E$6,O40=Data!$E$8,O40=Data!$E$9,O40=Data!$E$10,O40=Data!$E$11,O40=Data!$E$21,O40=Data!$E$20,O40=Data!$E$19,O40=Data!$E$18,O40=Data!$E$4)," ","?")</f>
        <v>?</v>
      </c>
      <c r="AG25" s="3" t="str">
        <f>IF(OR(O40=Data!$E$7,O40=Data!$E$5,O40=Data!$E$6,O40=Data!$E$8,O40=Data!$E$9,O40=Data!$E$10,O40=Data!$E$11,O40=Data!$E$21,O40=Data!$E$20,O40=Data!$E$19,O40=Data!$E$18,O40=Data!$E$4)," ","?")</f>
        <v>?</v>
      </c>
      <c r="AH25" s="3" t="str">
        <f>IF(OR(O40=Data!$E$21)," ","?")</f>
        <v>?</v>
      </c>
      <c r="AI25" s="3" t="str">
        <f>IF(OR(O40=Data!$E$7,O40=Data!$E$5,O40=Data!$E$6,O40=Data!$E$8,O40=Data!$E$21,O40=Data!$E$20,O40=Data!$E$19,O40=Data!$E$18,O40=Data!$E$4)," ","?")</f>
        <v>?</v>
      </c>
      <c r="AJ25" s="3" t="str">
        <f>IF(OR(O40=Data!$E$21)," ","?")</f>
        <v>?</v>
      </c>
    </row>
    <row r="26" spans="2:36" x14ac:dyDescent="0.25">
      <c r="D26" s="5" t="s">
        <v>11</v>
      </c>
      <c r="E26" s="3" t="s">
        <v>186</v>
      </c>
      <c r="F26" s="5" t="s">
        <v>299</v>
      </c>
      <c r="G26" s="5" t="s">
        <v>304</v>
      </c>
      <c r="H26" s="55" t="s">
        <v>385</v>
      </c>
      <c r="I26" s="3">
        <v>2</v>
      </c>
      <c r="N26" s="7"/>
      <c r="O26" s="7" t="s">
        <v>92</v>
      </c>
      <c r="P26" s="7" t="s">
        <v>88</v>
      </c>
      <c r="Q26" s="7">
        <v>25</v>
      </c>
      <c r="R26" s="7">
        <v>55</v>
      </c>
      <c r="S26" s="7">
        <v>90</v>
      </c>
      <c r="AA26" s="3">
        <v>24</v>
      </c>
      <c r="AB26" s="3" t="str">
        <f>IF(OR(O41=Data!$E$9,O41=Data!$E$10,O41=Data!$E$11,O41=Data!$E$12,O41=Data!$E$13,O41=Data!$E$14,O41=Data!$E$15,O41=Data!$E$16,O41=Data!$E$17,O41=Data!$E$18,O41=Data!$E$19,O41=Data!$E$20,O41=Data!$E$21)," ","?")</f>
        <v>?</v>
      </c>
      <c r="AC26" s="3" t="str">
        <f>IF(OR(O41=Data!$E$4,O41=Data!$E$5,O41=Data!$E$6,O41=Data!$E$7,O41=Data!$E$8,O41=Data!$E$9,O41=Data!$E$10,O41=Data!$E$11,O41=Data!$E$18,O41=Data!$E$19,O41=Data!$E$20,O41=Data!$E$21)," ","?")</f>
        <v>?</v>
      </c>
      <c r="AD26" s="3" t="str">
        <f>IF(OR(O41=Data!$E$4,O41=Data!$E$5,O41=Data!$E$6,O41=Data!$E$7,O41=Data!$E$8,O41=Data!$E$9,O41=Data!$E$18,O41=Data!$E$19,O41=Data!$E$20,O41=Data!$E$21)," ","?")</f>
        <v>?</v>
      </c>
      <c r="AE26" s="3" t="str">
        <f>IF(OR(O41=Data!$E$20,O41=Data!$E$21)," ","?")</f>
        <v>?</v>
      </c>
      <c r="AF26" s="3" t="str">
        <f>IF(OR(O41=Data!$E$7,O41=Data!$E$5,O41=Data!$E$6,O41=Data!$E$8,O41=Data!$E$9,O41=Data!$E$10,O41=Data!$E$11,O41=Data!$E$21,O41=Data!$E$20,O41=Data!$E$19,O41=Data!$E$18,O41=Data!$E$4)," ","?")</f>
        <v>?</v>
      </c>
      <c r="AG26" s="3" t="str">
        <f>IF(OR(O41=Data!$E$7,O41=Data!$E$5,O41=Data!$E$6,O41=Data!$E$8,O41=Data!$E$9,O41=Data!$E$10,O41=Data!$E$11,O41=Data!$E$21,O41=Data!$E$20,O41=Data!$E$19,O41=Data!$E$18,O41=Data!$E$4)," ","?")</f>
        <v>?</v>
      </c>
      <c r="AH26" s="3" t="str">
        <f>IF(OR(O41=Data!$E$21)," ","?")</f>
        <v>?</v>
      </c>
      <c r="AI26" s="3" t="str">
        <f>IF(OR(O41=Data!$E$7,O41=Data!$E$5,O41=Data!$E$6,O41=Data!$E$8,O41=Data!$E$21,O41=Data!$E$20,O41=Data!$E$19,O41=Data!$E$18,O41=Data!$E$4)," ","?")</f>
        <v>?</v>
      </c>
      <c r="AJ26" s="3" t="str">
        <f>IF(OR(O41=Data!$E$21)," ","?")</f>
        <v>?</v>
      </c>
    </row>
    <row r="27" spans="2:36" x14ac:dyDescent="0.25">
      <c r="D27" s="5"/>
      <c r="E27" s="3" t="s">
        <v>187</v>
      </c>
      <c r="F27" s="5" t="s">
        <v>300</v>
      </c>
      <c r="G27" s="5" t="s">
        <v>305</v>
      </c>
      <c r="H27" s="55" t="s">
        <v>386</v>
      </c>
      <c r="I27" s="3">
        <v>3</v>
      </c>
      <c r="N27" s="7" t="s">
        <v>104</v>
      </c>
      <c r="O27" s="7" t="s">
        <v>87</v>
      </c>
      <c r="P27" s="7" t="s">
        <v>106</v>
      </c>
      <c r="Q27" s="7">
        <v>55</v>
      </c>
      <c r="R27" s="7">
        <v>90</v>
      </c>
      <c r="S27" s="7">
        <v>125</v>
      </c>
      <c r="AA27" s="3">
        <v>25</v>
      </c>
      <c r="AB27" s="3" t="str">
        <f>IF(OR(O42=Data!$E$9,O42=Data!$E$10,O42=Data!$E$11,O42=Data!$E$12,O42=Data!$E$13,O42=Data!$E$14,O42=Data!$E$15,O42=Data!$E$16,O42=Data!$E$17,O42=Data!$E$18,O42=Data!$E$19,O42=Data!$E$20,O42=Data!$E$21)," ","?")</f>
        <v>?</v>
      </c>
      <c r="AC27" s="3" t="str">
        <f>IF(OR(O42=Data!$E$4,O42=Data!$E$5,O42=Data!$E$6,O42=Data!$E$7,O42=Data!$E$8,O42=Data!$E$9,O42=Data!$E$10,O42=Data!$E$11,O42=Data!$E$18,O42=Data!$E$19,O42=Data!$E$20,O42=Data!$E$21)," ","?")</f>
        <v>?</v>
      </c>
      <c r="AD27" s="3" t="str">
        <f>IF(OR(O42=Data!$E$4,O42=Data!$E$5,O42=Data!$E$6,O42=Data!$E$7,O42=Data!$E$8,O42=Data!$E$9,O42=Data!$E$18,O42=Data!$E$19,O42=Data!$E$20,O42=Data!$E$21)," ","?")</f>
        <v>?</v>
      </c>
      <c r="AE27" s="3" t="str">
        <f>IF(OR(O42=Data!$E$20,O42=Data!$E$21)," ","?")</f>
        <v>?</v>
      </c>
      <c r="AF27" s="3" t="str">
        <f>IF(OR(O42=Data!$E$7,O42=Data!$E$5,O42=Data!$E$6,O42=Data!$E$8,O42=Data!$E$9,O42=Data!$E$10,O42=Data!$E$11,O42=Data!$E$21,O42=Data!$E$20,O42=Data!$E$19,O42=Data!$E$18,O42=Data!$E$4)," ","?")</f>
        <v>?</v>
      </c>
      <c r="AG27" s="3" t="str">
        <f>IF(OR(O42=Data!$E$7,O42=Data!$E$5,O42=Data!$E$6,O42=Data!$E$8,O42=Data!$E$9,O42=Data!$E$10,O42=Data!$E$11,O42=Data!$E$21,O42=Data!$E$20,O42=Data!$E$19,O42=Data!$E$18,O42=Data!$E$4)," ","?")</f>
        <v>?</v>
      </c>
      <c r="AH27" s="3" t="str">
        <f>IF(OR(O42=Data!$E$21)," ","?")</f>
        <v>?</v>
      </c>
      <c r="AI27" s="3" t="str">
        <f>IF(OR(O42=Data!$E$7,O42=Data!$E$5,O42=Data!$E$6,O42=Data!$E$8,O42=Data!$E$21,O42=Data!$E$20,O42=Data!$E$19,O42=Data!$E$18,O42=Data!$E$4)," ","?")</f>
        <v>?</v>
      </c>
      <c r="AJ27" s="3" t="str">
        <f>IF(OR(O42=Data!$E$21)," ","?")</f>
        <v>?</v>
      </c>
    </row>
    <row r="28" spans="2:36" x14ac:dyDescent="0.25">
      <c r="E28" s="3" t="s">
        <v>188</v>
      </c>
      <c r="F28" s="5" t="s">
        <v>301</v>
      </c>
      <c r="G28" s="5" t="s">
        <v>306</v>
      </c>
      <c r="I28" s="3">
        <v>4</v>
      </c>
      <c r="N28" s="7"/>
      <c r="O28" s="7" t="s">
        <v>2</v>
      </c>
      <c r="P28" s="7" t="s">
        <v>106</v>
      </c>
      <c r="Q28" s="7">
        <v>55</v>
      </c>
      <c r="R28" s="7">
        <v>90</v>
      </c>
      <c r="S28" s="7">
        <v>125</v>
      </c>
      <c r="AA28" s="3">
        <v>26</v>
      </c>
      <c r="AB28" s="3" t="str">
        <f>IF(OR(O43=Data!$E$9,O43=Data!$E$10,O43=Data!$E$11,O43=Data!$E$12,O43=Data!$E$13,O43=Data!$E$14,O43=Data!$E$15,O43=Data!$E$16,O43=Data!$E$17,O43=Data!$E$18,O43=Data!$E$19,O43=Data!$E$20,O43=Data!$E$21)," ","?")</f>
        <v>?</v>
      </c>
      <c r="AC28" s="3" t="str">
        <f>IF(OR(O43=Data!$E$4,O43=Data!$E$5,O43=Data!$E$6,O43=Data!$E$7,O43=Data!$E$8,O43=Data!$E$9,O43=Data!$E$10,O43=Data!$E$11,O43=Data!$E$18,O43=Data!$E$19,O43=Data!$E$20,O43=Data!$E$21)," ","?")</f>
        <v>?</v>
      </c>
      <c r="AD28" s="3" t="str">
        <f>IF(OR(O43=Data!$E$4,O43=Data!$E$5,O43=Data!$E$6,O43=Data!$E$7,O43=Data!$E$8,O43=Data!$E$9,O43=Data!$E$18,O43=Data!$E$19,O43=Data!$E$20,O43=Data!$E$21)," ","?")</f>
        <v>?</v>
      </c>
      <c r="AE28" s="3" t="str">
        <f>IF(OR(O43=Data!$E$20,O43=Data!$E$21)," ","?")</f>
        <v>?</v>
      </c>
      <c r="AF28" s="3" t="str">
        <f>IF(OR(O43=Data!$E$7,O43=Data!$E$5,O43=Data!$E$6,O43=Data!$E$8,O43=Data!$E$9,O43=Data!$E$10,O43=Data!$E$11,O43=Data!$E$21,O43=Data!$E$20,O43=Data!$E$19,O43=Data!$E$18,O43=Data!$E$4)," ","?")</f>
        <v>?</v>
      </c>
      <c r="AG28" s="3" t="str">
        <f>IF(OR(O43=Data!$E$7,O43=Data!$E$5,O43=Data!$E$6,O43=Data!$E$8,O43=Data!$E$9,O43=Data!$E$10,O43=Data!$E$11,O43=Data!$E$21,O43=Data!$E$20,O43=Data!$E$19,O43=Data!$E$18,O43=Data!$E$4)," ","?")</f>
        <v>?</v>
      </c>
      <c r="AH28" s="3" t="str">
        <f>IF(OR(O43=Data!$E$21)," ","?")</f>
        <v>?</v>
      </c>
      <c r="AI28" s="3" t="str">
        <f>IF(OR(O43=Data!$E$7,O43=Data!$E$5,O43=Data!$E$6,O43=Data!$E$8,O43=Data!$E$21,O43=Data!$E$20,O43=Data!$E$19,O43=Data!$E$18,O43=Data!$E$4)," ","?")</f>
        <v>?</v>
      </c>
      <c r="AJ28" s="3" t="str">
        <f>IF(OR(O43=Data!$E$21)," ","?")</f>
        <v>?</v>
      </c>
    </row>
    <row r="29" spans="2:36" x14ac:dyDescent="0.25">
      <c r="E29" s="3" t="s">
        <v>282</v>
      </c>
      <c r="F29" s="5" t="s">
        <v>312</v>
      </c>
      <c r="G29" s="5" t="s">
        <v>307</v>
      </c>
      <c r="H29" s="55" t="s">
        <v>10</v>
      </c>
      <c r="I29" s="3">
        <v>5</v>
      </c>
      <c r="N29" s="7"/>
      <c r="O29" s="7" t="s">
        <v>92</v>
      </c>
      <c r="P29" s="7" t="s">
        <v>88</v>
      </c>
      <c r="Q29" s="7">
        <v>25</v>
      </c>
      <c r="R29" s="7">
        <v>55</v>
      </c>
      <c r="S29" s="7">
        <v>90</v>
      </c>
      <c r="AA29" s="3">
        <v>27</v>
      </c>
      <c r="AB29" s="3" t="str">
        <f>IF(OR(O44=Data!$E$9,O44=Data!$E$10,O44=Data!$E$11,O44=Data!$E$12,O44=Data!$E$13,O44=Data!$E$14,O44=Data!$E$15,O44=Data!$E$16,O44=Data!$E$17,O44=Data!$E$18,O44=Data!$E$19,O44=Data!$E$20,O44=Data!$E$21)," ","?")</f>
        <v>?</v>
      </c>
      <c r="AC29" s="3" t="str">
        <f>IF(OR(O44=Data!$E$4,O44=Data!$E$5,O44=Data!$E$6,O44=Data!$E$7,O44=Data!$E$8,O44=Data!$E$9,O44=Data!$E$10,O44=Data!$E$11,O44=Data!$E$18,O44=Data!$E$19,O44=Data!$E$20,O44=Data!$E$21)," ","?")</f>
        <v>?</v>
      </c>
      <c r="AD29" s="3" t="str">
        <f>IF(OR(O44=Data!$E$4,O44=Data!$E$5,O44=Data!$E$6,O44=Data!$E$7,O44=Data!$E$8,O44=Data!$E$9,O44=Data!$E$18,O44=Data!$E$19,O44=Data!$E$20,O44=Data!$E$21)," ","?")</f>
        <v>?</v>
      </c>
      <c r="AE29" s="3" t="str">
        <f>IF(OR(O44=Data!$E$20,O44=Data!$E$21)," ","?")</f>
        <v>?</v>
      </c>
      <c r="AF29" s="3" t="str">
        <f>IF(OR(O44=Data!$E$7,O44=Data!$E$5,O44=Data!$E$6,O44=Data!$E$8,O44=Data!$E$9,O44=Data!$E$10,O44=Data!$E$11,O44=Data!$E$21,O44=Data!$E$20,O44=Data!$E$19,O44=Data!$E$18,O44=Data!$E$4)," ","?")</f>
        <v>?</v>
      </c>
      <c r="AG29" s="3" t="str">
        <f>IF(OR(O44=Data!$E$7,O44=Data!$E$5,O44=Data!$E$6,O44=Data!$E$8,O44=Data!$E$9,O44=Data!$E$10,O44=Data!$E$11,O44=Data!$E$21,O44=Data!$E$20,O44=Data!$E$19,O44=Data!$E$18,O44=Data!$E$4)," ","?")</f>
        <v>?</v>
      </c>
      <c r="AH29" s="3" t="str">
        <f>IF(OR(O44=Data!$E$21)," ","?")</f>
        <v>?</v>
      </c>
      <c r="AI29" s="3" t="str">
        <f>IF(OR(O44=Data!$E$7,O44=Data!$E$5,O44=Data!$E$6,O44=Data!$E$8,O44=Data!$E$21,O44=Data!$E$20,O44=Data!$E$19,O44=Data!$E$18,O44=Data!$E$4)," ","?")</f>
        <v>?</v>
      </c>
      <c r="AJ29" s="3" t="str">
        <f>IF(OR(O44=Data!$E$21)," ","?")</f>
        <v>?</v>
      </c>
    </row>
    <row r="30" spans="2:36" x14ac:dyDescent="0.25">
      <c r="G30" s="5" t="s">
        <v>308</v>
      </c>
      <c r="H30" s="55" t="s">
        <v>469</v>
      </c>
      <c r="I30" s="3">
        <v>6</v>
      </c>
      <c r="N30" s="7" t="s">
        <v>107</v>
      </c>
      <c r="O30" s="7" t="s">
        <v>87</v>
      </c>
      <c r="P30" s="7" t="s">
        <v>119</v>
      </c>
      <c r="Q30" s="7">
        <v>55</v>
      </c>
      <c r="R30" s="7">
        <v>105</v>
      </c>
      <c r="S30" s="7">
        <v>180</v>
      </c>
      <c r="AA30" s="3">
        <v>28</v>
      </c>
      <c r="AB30" s="3" t="str">
        <f>IF(OR(O45=Data!$E$9,O45=Data!$E$10,O45=Data!$E$11,O45=Data!$E$12,O45=Data!$E$13,O45=Data!$E$14,O45=Data!$E$15,O45=Data!$E$16,O45=Data!$E$17,O45=Data!$E$18,O45=Data!$E$19,O45=Data!$E$20,O45=Data!$E$21)," ","?")</f>
        <v>?</v>
      </c>
      <c r="AC30" s="3" t="str">
        <f>IF(OR(O45=Data!$E$4,O45=Data!$E$5,O45=Data!$E$6,O45=Data!$E$7,O45=Data!$E$8,O45=Data!$E$9,O45=Data!$E$10,O45=Data!$E$11,O45=Data!$E$18,O45=Data!$E$19,O45=Data!$E$20,O45=Data!$E$21)," ","?")</f>
        <v>?</v>
      </c>
      <c r="AD30" s="3" t="str">
        <f>IF(OR(O45=Data!$E$4,O45=Data!$E$5,O45=Data!$E$6,O45=Data!$E$7,O45=Data!$E$8,O45=Data!$E$9,O45=Data!$E$18,O45=Data!$E$19,O45=Data!$E$20,O45=Data!$E$21)," ","?")</f>
        <v>?</v>
      </c>
      <c r="AE30" s="3" t="str">
        <f>IF(OR(O45=Data!$E$20,O45=Data!$E$21)," ","?")</f>
        <v>?</v>
      </c>
      <c r="AF30" s="3" t="str">
        <f>IF(OR(O45=Data!$E$7,O45=Data!$E$5,O45=Data!$E$6,O45=Data!$E$8,O45=Data!$E$9,O45=Data!$E$10,O45=Data!$E$11,O45=Data!$E$21,O45=Data!$E$20,O45=Data!$E$19,O45=Data!$E$18,O45=Data!$E$4)," ","?")</f>
        <v>?</v>
      </c>
      <c r="AG30" s="3" t="str">
        <f>IF(OR(O45=Data!$E$7,O45=Data!$E$5,O45=Data!$E$6,O45=Data!$E$8,O45=Data!$E$9,O45=Data!$E$10,O45=Data!$E$11,O45=Data!$E$21,O45=Data!$E$20,O45=Data!$E$19,O45=Data!$E$18,O45=Data!$E$4)," ","?")</f>
        <v>?</v>
      </c>
      <c r="AH30" s="3" t="str">
        <f>IF(OR(O45=Data!$E$21)," ","?")</f>
        <v>?</v>
      </c>
      <c r="AI30" s="3" t="str">
        <f>IF(OR(O45=Data!$E$7,O45=Data!$E$5,O45=Data!$E$6,O45=Data!$E$8,O45=Data!$E$21,O45=Data!$E$20,O45=Data!$E$19,O45=Data!$E$18,O45=Data!$E$4)," ","?")</f>
        <v>?</v>
      </c>
      <c r="AJ30" s="3" t="str">
        <f>IF(OR(O45=Data!$E$21)," ","?")</f>
        <v>?</v>
      </c>
    </row>
    <row r="31" spans="2:36" x14ac:dyDescent="0.25">
      <c r="H31" s="55" t="s">
        <v>385</v>
      </c>
      <c r="I31" s="3">
        <v>7</v>
      </c>
      <c r="N31" s="7"/>
      <c r="O31" s="7" t="s">
        <v>2</v>
      </c>
      <c r="P31" s="7" t="s">
        <v>120</v>
      </c>
      <c r="Q31" s="7">
        <v>65</v>
      </c>
      <c r="R31" s="7">
        <v>90</v>
      </c>
      <c r="S31" s="7">
        <v>125</v>
      </c>
      <c r="AA31" s="3">
        <v>29</v>
      </c>
      <c r="AB31" s="3" t="str">
        <f>IF(OR(O46=Data!$E$9,O46=Data!$E$10,O46=Data!$E$11,O46=Data!$E$12,O46=Data!$E$13,O46=Data!$E$14,O46=Data!$E$15,O46=Data!$E$16,O46=Data!$E$17,O46=Data!$E$18,O46=Data!$E$19,O46=Data!$E$20,O46=Data!$E$21)," ","?")</f>
        <v>?</v>
      </c>
      <c r="AC31" s="3" t="str">
        <f>IF(OR(O46=Data!$E$4,O46=Data!$E$5,O46=Data!$E$6,O46=Data!$E$7,O46=Data!$E$8,O46=Data!$E$9,O46=Data!$E$10,O46=Data!$E$11,O46=Data!$E$18,O46=Data!$E$19,O46=Data!$E$20,O46=Data!$E$21)," ","?")</f>
        <v>?</v>
      </c>
      <c r="AD31" s="3" t="str">
        <f>IF(OR(O46=Data!$E$4,O46=Data!$E$5,O46=Data!$E$6,O46=Data!$E$7,O46=Data!$E$8,O46=Data!$E$9,O46=Data!$E$18,O46=Data!$E$19,O46=Data!$E$20,O46=Data!$E$21)," ","?")</f>
        <v>?</v>
      </c>
      <c r="AE31" s="3" t="str">
        <f>IF(OR(O46=Data!$E$20,O46=Data!$E$21)," ","?")</f>
        <v>?</v>
      </c>
      <c r="AF31" s="3" t="str">
        <f>IF(OR(O46=Data!$E$7,O46=Data!$E$5,O46=Data!$E$6,O46=Data!$E$8,O46=Data!$E$9,O46=Data!$E$10,O46=Data!$E$11,O46=Data!$E$21,O46=Data!$E$20,O46=Data!$E$19,O46=Data!$E$18,O46=Data!$E$4)," ","?")</f>
        <v>?</v>
      </c>
      <c r="AG31" s="3" t="str">
        <f>IF(OR(O46=Data!$E$7,O46=Data!$E$5,O46=Data!$E$6,O46=Data!$E$8,O46=Data!$E$9,O46=Data!$E$10,O46=Data!$E$11,O46=Data!$E$21,O46=Data!$E$20,O46=Data!$E$19,O46=Data!$E$18,O46=Data!$E$4)," ","?")</f>
        <v>?</v>
      </c>
      <c r="AH31" s="3" t="str">
        <f>IF(OR(O46=Data!$E$21)," ","?")</f>
        <v>?</v>
      </c>
      <c r="AI31" s="3" t="str">
        <f>IF(OR(O46=Data!$E$7,O46=Data!$E$5,O46=Data!$E$6,O46=Data!$E$8,O46=Data!$E$21,O46=Data!$E$20,O46=Data!$E$19,O46=Data!$E$18,O46=Data!$E$4)," ","?")</f>
        <v>?</v>
      </c>
      <c r="AJ31" s="3" t="str">
        <f>IF(OR(O46=Data!$E$21)," ","?")</f>
        <v>?</v>
      </c>
    </row>
    <row r="32" spans="2:36" x14ac:dyDescent="0.25">
      <c r="F32" s="7"/>
      <c r="G32" s="7"/>
      <c r="H32" s="55" t="s">
        <v>470</v>
      </c>
      <c r="I32" s="7">
        <v>8</v>
      </c>
      <c r="J32" s="7"/>
      <c r="N32" s="7"/>
      <c r="O32" s="7" t="s">
        <v>92</v>
      </c>
      <c r="P32" s="7" t="s">
        <v>88</v>
      </c>
      <c r="Q32" s="7">
        <v>25</v>
      </c>
      <c r="R32" s="7">
        <v>55</v>
      </c>
      <c r="S32" s="7">
        <v>90</v>
      </c>
      <c r="AA32" s="3">
        <v>30</v>
      </c>
      <c r="AB32" s="3" t="str">
        <f>IF(OR(O47=Data!$E$9,O47=Data!$E$10,O47=Data!$E$11,O47=Data!$E$12,O47=Data!$E$13,O47=Data!$E$14,O47=Data!$E$15,O47=Data!$E$16,O47=Data!$E$17,O47=Data!$E$18,O47=Data!$E$19,O47=Data!$E$20,O47=Data!$E$21)," ","?")</f>
        <v>?</v>
      </c>
      <c r="AC32" s="3" t="str">
        <f>IF(OR(O47=Data!$E$4,O47=Data!$E$5,O47=Data!$E$6,O47=Data!$E$7,O47=Data!$E$8,O47=Data!$E$9,O47=Data!$E$10,O47=Data!$E$11,O47=Data!$E$18,O47=Data!$E$19,O47=Data!$E$20,O47=Data!$E$21)," ","?")</f>
        <v>?</v>
      </c>
      <c r="AD32" s="3" t="str">
        <f>IF(OR(O47=Data!$E$4,O47=Data!$E$5,O47=Data!$E$6,O47=Data!$E$7,O47=Data!$E$8,O47=Data!$E$9,O47=Data!$E$18,O47=Data!$E$19,O47=Data!$E$20,O47=Data!$E$21)," ","?")</f>
        <v>?</v>
      </c>
      <c r="AE32" s="3" t="str">
        <f>IF(OR(O47=Data!$E$20,O47=Data!$E$21)," ","?")</f>
        <v>?</v>
      </c>
      <c r="AF32" s="3" t="str">
        <f>IF(OR(O47=Data!$E$7,O47=Data!$E$5,O47=Data!$E$6,O47=Data!$E$8,O47=Data!$E$9,O47=Data!$E$10,O47=Data!$E$11,O47=Data!$E$21,O47=Data!$E$20,O47=Data!$E$19,O47=Data!$E$18,O47=Data!$E$4)," ","?")</f>
        <v>?</v>
      </c>
      <c r="AG32" s="3" t="str">
        <f>IF(OR(O47=Data!$E$7,O47=Data!$E$5,O47=Data!$E$6,O47=Data!$E$8,O47=Data!$E$9,O47=Data!$E$10,O47=Data!$E$11,O47=Data!$E$21,O47=Data!$E$20,O47=Data!$E$19,O47=Data!$E$18,O47=Data!$E$4)," ","?")</f>
        <v>?</v>
      </c>
      <c r="AH32" s="3" t="str">
        <f>IF(OR(O47=Data!$E$21)," ","?")</f>
        <v>?</v>
      </c>
      <c r="AI32" s="3" t="str">
        <f>IF(OR(O47=Data!$E$7,O47=Data!$E$5,O47=Data!$E$6,O47=Data!$E$8,O47=Data!$E$21,O47=Data!$E$20,O47=Data!$E$19,O47=Data!$E$18,O47=Data!$E$4)," ","?")</f>
        <v>?</v>
      </c>
      <c r="AJ32" s="3" t="str">
        <f>IF(OR(O47=Data!$E$21)," ","?")</f>
        <v>?</v>
      </c>
    </row>
    <row r="33" spans="2:19" ht="13" x14ac:dyDescent="0.3">
      <c r="D33" s="2" t="s">
        <v>524</v>
      </c>
      <c r="F33" s="7"/>
      <c r="G33" s="46"/>
      <c r="H33" s="46"/>
      <c r="I33" s="7">
        <v>9</v>
      </c>
      <c r="J33" s="7"/>
      <c r="N33" s="7" t="s">
        <v>109</v>
      </c>
      <c r="O33" s="7" t="s">
        <v>87</v>
      </c>
      <c r="P33" s="7" t="s">
        <v>121</v>
      </c>
      <c r="Q33" s="7">
        <v>105</v>
      </c>
      <c r="R33" s="7">
        <v>180</v>
      </c>
      <c r="S33" s="7">
        <v>250</v>
      </c>
    </row>
    <row r="34" spans="2:19" x14ac:dyDescent="0.25">
      <c r="D34" s="3" t="str">
        <f>" "</f>
        <v xml:space="preserve"> </v>
      </c>
      <c r="F34" s="7"/>
      <c r="G34" s="7"/>
      <c r="H34" s="7"/>
      <c r="I34" s="7">
        <v>10</v>
      </c>
      <c r="J34" s="7"/>
      <c r="N34" s="7"/>
      <c r="O34" s="7" t="s">
        <v>2</v>
      </c>
      <c r="P34" s="7" t="s">
        <v>120</v>
      </c>
      <c r="Q34" s="7">
        <v>65</v>
      </c>
      <c r="R34" s="7">
        <v>90</v>
      </c>
      <c r="S34" s="7">
        <v>125</v>
      </c>
    </row>
    <row r="35" spans="2:19" x14ac:dyDescent="0.25">
      <c r="D35" s="3" t="s">
        <v>9</v>
      </c>
      <c r="E35" s="5" t="s">
        <v>10</v>
      </c>
      <c r="F35" s="13"/>
      <c r="G35" s="16"/>
      <c r="H35" s="16"/>
      <c r="I35" s="3">
        <v>11</v>
      </c>
      <c r="J35" s="16"/>
      <c r="N35" s="7"/>
      <c r="O35" s="7" t="s">
        <v>92</v>
      </c>
      <c r="P35" s="7" t="s">
        <v>88</v>
      </c>
      <c r="Q35" s="7">
        <v>25</v>
      </c>
      <c r="R35" s="7">
        <v>55</v>
      </c>
      <c r="S35" s="7">
        <v>90</v>
      </c>
    </row>
    <row r="36" spans="2:19" x14ac:dyDescent="0.25">
      <c r="D36" s="3" t="s">
        <v>467</v>
      </c>
      <c r="E36" s="5" t="s">
        <v>8</v>
      </c>
      <c r="F36" s="7"/>
      <c r="G36" s="16"/>
      <c r="H36" s="16"/>
      <c r="I36" s="3">
        <v>12</v>
      </c>
      <c r="J36" s="16"/>
      <c r="N36" s="7" t="s">
        <v>111</v>
      </c>
      <c r="O36" s="7" t="s">
        <v>87</v>
      </c>
      <c r="P36" s="7" t="s">
        <v>121</v>
      </c>
      <c r="Q36" s="7">
        <v>105</v>
      </c>
      <c r="R36" s="7">
        <v>180</v>
      </c>
      <c r="S36" s="7">
        <v>250</v>
      </c>
    </row>
    <row r="37" spans="2:19" x14ac:dyDescent="0.25">
      <c r="D37" s="3" t="s">
        <v>393</v>
      </c>
      <c r="E37" s="5" t="s">
        <v>487</v>
      </c>
      <c r="F37" s="13"/>
      <c r="G37" s="16"/>
      <c r="H37" s="16"/>
      <c r="I37" s="3">
        <v>13</v>
      </c>
      <c r="J37" s="16"/>
      <c r="N37" s="7"/>
      <c r="O37" s="7" t="s">
        <v>2</v>
      </c>
      <c r="P37" s="7" t="s">
        <v>120</v>
      </c>
      <c r="Q37" s="7">
        <v>65</v>
      </c>
      <c r="R37" s="7">
        <v>90</v>
      </c>
      <c r="S37" s="7">
        <v>125</v>
      </c>
    </row>
    <row r="38" spans="2:19" x14ac:dyDescent="0.25">
      <c r="E38" s="5" t="s">
        <v>11</v>
      </c>
      <c r="F38" s="7"/>
      <c r="G38" s="16"/>
      <c r="H38" s="16"/>
      <c r="I38" s="3">
        <v>14</v>
      </c>
      <c r="J38" s="16"/>
      <c r="N38" s="7"/>
      <c r="O38" s="7" t="s">
        <v>92</v>
      </c>
      <c r="P38" s="7" t="s">
        <v>88</v>
      </c>
      <c r="Q38" s="7">
        <v>25</v>
      </c>
      <c r="R38" s="7">
        <v>55</v>
      </c>
      <c r="S38" s="7">
        <v>90</v>
      </c>
    </row>
    <row r="39" spans="2:19" x14ac:dyDescent="0.25">
      <c r="F39" s="13"/>
      <c r="G39" s="16"/>
      <c r="H39" s="16"/>
      <c r="I39" s="3">
        <v>15</v>
      </c>
      <c r="J39" s="16"/>
      <c r="N39" s="7" t="s">
        <v>113</v>
      </c>
      <c r="O39" s="7" t="s">
        <v>87</v>
      </c>
      <c r="P39" s="7" t="s">
        <v>122</v>
      </c>
      <c r="Q39" s="7">
        <v>30</v>
      </c>
      <c r="R39" s="7">
        <v>55</v>
      </c>
      <c r="S39" s="7">
        <v>90</v>
      </c>
    </row>
    <row r="40" spans="2:19" x14ac:dyDescent="0.25">
      <c r="D40" s="3" t="s">
        <v>508</v>
      </c>
      <c r="F40" s="13"/>
      <c r="G40" s="16"/>
      <c r="H40" s="16"/>
      <c r="I40" s="3">
        <v>16</v>
      </c>
      <c r="J40" s="16"/>
      <c r="N40" s="7"/>
      <c r="O40" s="7" t="s">
        <v>2</v>
      </c>
      <c r="P40" s="7" t="s">
        <v>122</v>
      </c>
      <c r="Q40" s="7">
        <v>30</v>
      </c>
      <c r="R40" s="7">
        <v>55</v>
      </c>
      <c r="S40" s="7">
        <v>90</v>
      </c>
    </row>
    <row r="41" spans="2:19" x14ac:dyDescent="0.25">
      <c r="D41" s="3" t="s">
        <v>10</v>
      </c>
      <c r="F41" s="13"/>
      <c r="G41" s="16"/>
      <c r="H41" s="16"/>
      <c r="I41" s="3">
        <v>17</v>
      </c>
      <c r="J41" s="16"/>
      <c r="N41" s="7"/>
      <c r="O41" s="7" t="s">
        <v>92</v>
      </c>
      <c r="P41" s="7" t="s">
        <v>88</v>
      </c>
      <c r="Q41" s="7">
        <v>25</v>
      </c>
      <c r="R41" s="7">
        <v>55</v>
      </c>
      <c r="S41" s="7">
        <v>90</v>
      </c>
    </row>
    <row r="42" spans="2:19" x14ac:dyDescent="0.25">
      <c r="D42" s="3" t="s">
        <v>509</v>
      </c>
      <c r="F42" s="13"/>
      <c r="G42" s="16"/>
      <c r="H42" s="16"/>
      <c r="I42" s="7">
        <v>18</v>
      </c>
      <c r="J42" s="16"/>
      <c r="N42" s="7" t="s">
        <v>115</v>
      </c>
      <c r="O42" s="7" t="s">
        <v>87</v>
      </c>
      <c r="P42" s="7" t="s">
        <v>122</v>
      </c>
      <c r="Q42" s="7">
        <v>30</v>
      </c>
      <c r="R42" s="7">
        <v>55</v>
      </c>
      <c r="S42" s="7">
        <v>90</v>
      </c>
    </row>
    <row r="43" spans="2:19" x14ac:dyDescent="0.25">
      <c r="D43" s="3" t="s">
        <v>510</v>
      </c>
      <c r="F43" s="13"/>
      <c r="G43" s="16"/>
      <c r="H43" s="16"/>
      <c r="I43" s="7">
        <v>19</v>
      </c>
      <c r="J43" s="16"/>
      <c r="N43" s="7"/>
      <c r="O43" s="7" t="s">
        <v>2</v>
      </c>
      <c r="P43" s="7" t="s">
        <v>122</v>
      </c>
      <c r="Q43" s="7">
        <v>30</v>
      </c>
      <c r="R43" s="7">
        <v>55</v>
      </c>
      <c r="S43" s="7">
        <v>90</v>
      </c>
    </row>
    <row r="44" spans="2:19" x14ac:dyDescent="0.25">
      <c r="B44" s="71"/>
      <c r="C44" s="71"/>
      <c r="D44" s="71" t="s">
        <v>511</v>
      </c>
      <c r="F44" s="13"/>
      <c r="G44" s="16"/>
      <c r="H44" s="16"/>
      <c r="I44" s="7">
        <v>20</v>
      </c>
      <c r="J44" s="16"/>
      <c r="N44" s="7"/>
      <c r="O44" s="7" t="s">
        <v>92</v>
      </c>
      <c r="P44" s="7" t="s">
        <v>88</v>
      </c>
      <c r="Q44" s="7">
        <v>25</v>
      </c>
      <c r="R44" s="7">
        <v>55</v>
      </c>
      <c r="S44" s="7">
        <v>90</v>
      </c>
    </row>
    <row r="45" spans="2:19" x14ac:dyDescent="0.25">
      <c r="B45" s="71"/>
      <c r="C45" s="71"/>
      <c r="D45" s="71"/>
      <c r="F45" s="13"/>
      <c r="G45" s="16"/>
      <c r="H45" s="16"/>
      <c r="I45" s="3">
        <v>21</v>
      </c>
      <c r="J45" s="16"/>
      <c r="N45" s="7" t="s">
        <v>117</v>
      </c>
      <c r="O45" s="7" t="s">
        <v>87</v>
      </c>
      <c r="P45" s="7" t="s">
        <v>122</v>
      </c>
      <c r="Q45" s="7">
        <v>30</v>
      </c>
      <c r="R45" s="7">
        <v>55</v>
      </c>
      <c r="S45" s="7">
        <v>90</v>
      </c>
    </row>
    <row r="46" spans="2:19" x14ac:dyDescent="0.25">
      <c r="B46" s="71"/>
      <c r="C46" s="71"/>
      <c r="D46" s="71"/>
      <c r="F46" s="13"/>
      <c r="G46" s="16"/>
      <c r="H46" s="16"/>
      <c r="I46" s="3">
        <v>22</v>
      </c>
      <c r="J46" s="16"/>
      <c r="N46" s="7"/>
      <c r="O46" s="7" t="s">
        <v>2</v>
      </c>
      <c r="P46" s="7" t="s">
        <v>122</v>
      </c>
      <c r="Q46" s="7">
        <v>30</v>
      </c>
      <c r="R46" s="7">
        <v>55</v>
      </c>
      <c r="S46" s="7">
        <v>90</v>
      </c>
    </row>
    <row r="47" spans="2:19" x14ac:dyDescent="0.25">
      <c r="B47" s="71"/>
      <c r="C47" s="71"/>
      <c r="D47" s="71"/>
      <c r="F47" s="13"/>
      <c r="G47" s="46"/>
      <c r="H47" s="16"/>
      <c r="I47" s="3">
        <v>23</v>
      </c>
      <c r="J47" s="16"/>
      <c r="N47" s="7"/>
      <c r="O47" s="7" t="s">
        <v>92</v>
      </c>
      <c r="P47" s="7" t="s">
        <v>88</v>
      </c>
      <c r="Q47" s="7">
        <v>25</v>
      </c>
      <c r="R47" s="7">
        <v>55</v>
      </c>
      <c r="S47" s="7">
        <v>90</v>
      </c>
    </row>
    <row r="48" spans="2:19" x14ac:dyDescent="0.25">
      <c r="B48" s="71"/>
      <c r="C48" s="71"/>
      <c r="D48" s="71"/>
      <c r="F48" s="13"/>
      <c r="G48" s="16"/>
      <c r="H48" s="16"/>
      <c r="I48" s="3">
        <v>24</v>
      </c>
      <c r="J48" s="16"/>
    </row>
    <row r="49" spans="2:10" x14ac:dyDescent="0.25">
      <c r="B49" s="71"/>
      <c r="C49" s="71"/>
      <c r="D49" s="71"/>
      <c r="F49" s="13"/>
      <c r="G49" s="16"/>
      <c r="H49" s="16"/>
      <c r="I49" s="3">
        <v>25</v>
      </c>
      <c r="J49" s="16"/>
    </row>
    <row r="50" spans="2:10" x14ac:dyDescent="0.25">
      <c r="B50" s="71"/>
      <c r="C50" s="71"/>
      <c r="D50" s="71"/>
      <c r="F50" s="13"/>
      <c r="G50" s="16"/>
      <c r="H50" s="16"/>
      <c r="I50" s="3">
        <v>26</v>
      </c>
      <c r="J50" s="16"/>
    </row>
    <row r="51" spans="2:10" x14ac:dyDescent="0.25">
      <c r="B51" s="71"/>
      <c r="C51" s="71"/>
      <c r="D51" s="71"/>
      <c r="F51" s="13"/>
      <c r="G51" s="16"/>
      <c r="H51" s="16"/>
      <c r="I51" s="3">
        <v>27</v>
      </c>
      <c r="J51" s="16"/>
    </row>
    <row r="52" spans="2:10" x14ac:dyDescent="0.25">
      <c r="B52" s="71"/>
      <c r="C52" s="71"/>
      <c r="D52" s="71"/>
      <c r="F52" s="13"/>
      <c r="G52" s="16"/>
      <c r="H52" s="16"/>
      <c r="I52" s="7">
        <v>28</v>
      </c>
      <c r="J52" s="16"/>
    </row>
    <row r="53" spans="2:10" x14ac:dyDescent="0.25">
      <c r="B53" s="71"/>
      <c r="C53" s="71"/>
      <c r="D53" s="71"/>
      <c r="F53" s="13"/>
      <c r="G53" s="16"/>
      <c r="H53" s="16"/>
      <c r="I53" s="7">
        <v>29</v>
      </c>
      <c r="J53" s="16"/>
    </row>
    <row r="54" spans="2:10" x14ac:dyDescent="0.25">
      <c r="B54" s="71"/>
      <c r="C54" s="71"/>
      <c r="D54" s="71"/>
      <c r="F54" s="7"/>
      <c r="G54" s="7"/>
      <c r="H54" s="7"/>
      <c r="I54" s="7">
        <v>30</v>
      </c>
      <c r="J54" s="7"/>
    </row>
    <row r="55" spans="2:10" x14ac:dyDescent="0.25">
      <c r="B55" s="71"/>
      <c r="C55" s="71"/>
      <c r="D55" s="71"/>
    </row>
    <row r="56" spans="2:10" x14ac:dyDescent="0.25">
      <c r="B56" s="71"/>
      <c r="C56" s="71"/>
      <c r="D56" s="71"/>
    </row>
    <row r="57" spans="2:10" x14ac:dyDescent="0.25">
      <c r="B57" s="71"/>
      <c r="C57" s="71"/>
      <c r="D57" s="71"/>
    </row>
    <row r="58" spans="2:10" x14ac:dyDescent="0.25">
      <c r="B58" s="71"/>
      <c r="C58" s="71"/>
      <c r="D58" s="71"/>
    </row>
    <row r="59" spans="2:10" x14ac:dyDescent="0.25">
      <c r="B59" s="71"/>
      <c r="C59" s="71"/>
      <c r="D59" s="71"/>
    </row>
    <row r="60" spans="2:10" x14ac:dyDescent="0.25">
      <c r="B60" s="71"/>
      <c r="C60" s="71"/>
      <c r="D60" s="71"/>
    </row>
    <row r="61" spans="2:10" x14ac:dyDescent="0.25">
      <c r="B61" s="71"/>
      <c r="C61" s="71"/>
      <c r="D61" s="71"/>
    </row>
    <row r="62" spans="2:10" x14ac:dyDescent="0.25">
      <c r="B62" s="71"/>
      <c r="C62" s="71"/>
      <c r="D62" s="71"/>
    </row>
    <row r="63" spans="2:10" x14ac:dyDescent="0.25">
      <c r="B63" s="71"/>
      <c r="C63" s="71"/>
      <c r="D63" s="71"/>
    </row>
    <row r="64" spans="2:10" x14ac:dyDescent="0.25">
      <c r="B64" s="71"/>
      <c r="C64" s="71"/>
      <c r="D64" s="71"/>
    </row>
    <row r="65" spans="2:4" x14ac:dyDescent="0.25">
      <c r="B65" s="71"/>
      <c r="C65" s="71"/>
      <c r="D65" s="71"/>
    </row>
    <row r="66" spans="2:4" x14ac:dyDescent="0.25">
      <c r="B66" s="71"/>
      <c r="C66" s="71"/>
      <c r="D66" s="71"/>
    </row>
    <row r="67" spans="2:4" x14ac:dyDescent="0.25">
      <c r="B67" s="71"/>
      <c r="C67" s="71"/>
      <c r="D67" s="71"/>
    </row>
    <row r="68" spans="2:4" x14ac:dyDescent="0.25">
      <c r="B68" s="71"/>
      <c r="C68" s="71"/>
      <c r="D68" s="71"/>
    </row>
    <row r="69" spans="2:4" x14ac:dyDescent="0.25">
      <c r="B69" s="71"/>
      <c r="C69" s="71"/>
      <c r="D69" s="71"/>
    </row>
    <row r="70" spans="2:4" x14ac:dyDescent="0.25">
      <c r="B70" s="71"/>
      <c r="C70" s="71"/>
      <c r="D70" s="71"/>
    </row>
    <row r="71" spans="2:4" x14ac:dyDescent="0.25">
      <c r="B71" s="71"/>
      <c r="C71" s="71"/>
      <c r="D71" s="71"/>
    </row>
    <row r="72" spans="2:4" x14ac:dyDescent="0.25">
      <c r="B72" s="71"/>
      <c r="C72" s="71"/>
      <c r="D72" s="71"/>
    </row>
    <row r="73" spans="2:4" x14ac:dyDescent="0.25">
      <c r="B73" s="71"/>
      <c r="C73" s="71"/>
      <c r="D73" s="71"/>
    </row>
    <row r="77" spans="2:4" x14ac:dyDescent="0.25">
      <c r="B77" s="71"/>
      <c r="C77" s="71"/>
    </row>
    <row r="78" spans="2:4" x14ac:dyDescent="0.25">
      <c r="B78" s="71"/>
      <c r="C78" s="71"/>
    </row>
    <row r="79" spans="2:4" x14ac:dyDescent="0.25">
      <c r="B79" s="71"/>
      <c r="C79" s="71"/>
    </row>
    <row r="80" spans="2:4" x14ac:dyDescent="0.25">
      <c r="B80" s="71"/>
      <c r="C80" s="71"/>
    </row>
    <row r="81" spans="2:3" x14ac:dyDescent="0.25">
      <c r="B81" s="71"/>
      <c r="C81" s="71"/>
    </row>
    <row r="82" spans="2:3" x14ac:dyDescent="0.25">
      <c r="B82" s="71"/>
      <c r="C82" s="71"/>
    </row>
    <row r="83" spans="2:3" x14ac:dyDescent="0.25">
      <c r="B83" s="71"/>
      <c r="C83" s="71"/>
    </row>
    <row r="84" spans="2:3" x14ac:dyDescent="0.25">
      <c r="B84" s="71"/>
      <c r="C84" s="71"/>
    </row>
    <row r="85" spans="2:3" x14ac:dyDescent="0.25">
      <c r="B85" s="71"/>
      <c r="C85" s="71"/>
    </row>
    <row r="86" spans="2:3" x14ac:dyDescent="0.25">
      <c r="B86" s="71"/>
      <c r="C86" s="71"/>
    </row>
    <row r="87" spans="2:3" x14ac:dyDescent="0.25">
      <c r="B87" s="71"/>
      <c r="C87" s="71"/>
    </row>
    <row r="88" spans="2:3" x14ac:dyDescent="0.25">
      <c r="B88" s="71"/>
      <c r="C88" s="71"/>
    </row>
    <row r="89" spans="2:3" x14ac:dyDescent="0.25">
      <c r="B89" s="71"/>
      <c r="C89" s="71"/>
    </row>
    <row r="90" spans="2:3" x14ac:dyDescent="0.25">
      <c r="B90" s="71"/>
      <c r="C90" s="71"/>
    </row>
    <row r="91" spans="2:3" x14ac:dyDescent="0.25">
      <c r="B91" s="71"/>
      <c r="C91" s="71"/>
    </row>
    <row r="92" spans="2:3" x14ac:dyDescent="0.25">
      <c r="B92" s="71"/>
      <c r="C92" s="71"/>
    </row>
    <row r="93" spans="2:3" x14ac:dyDescent="0.25">
      <c r="B93" s="71"/>
      <c r="C93" s="71"/>
    </row>
    <row r="94" spans="2:3" x14ac:dyDescent="0.25">
      <c r="B94" s="71"/>
      <c r="C94" s="71"/>
    </row>
    <row r="95" spans="2:3" x14ac:dyDescent="0.25">
      <c r="B95" s="71"/>
      <c r="C95" s="71"/>
    </row>
    <row r="96" spans="2:3" x14ac:dyDescent="0.25">
      <c r="B96" s="71"/>
      <c r="C96" s="71"/>
    </row>
    <row r="97" spans="2:3" x14ac:dyDescent="0.25">
      <c r="B97" s="71"/>
      <c r="C97" s="71"/>
    </row>
    <row r="98" spans="2:3" x14ac:dyDescent="0.25">
      <c r="B98" s="71"/>
      <c r="C98" s="71"/>
    </row>
    <row r="99" spans="2:3" x14ac:dyDescent="0.25">
      <c r="B99" s="71"/>
      <c r="C99" s="71"/>
    </row>
    <row r="100" spans="2:3" x14ac:dyDescent="0.25">
      <c r="B100" s="71"/>
      <c r="C100" s="71"/>
    </row>
    <row r="101" spans="2:3" x14ac:dyDescent="0.25">
      <c r="B101" s="71"/>
      <c r="C101" s="71"/>
    </row>
    <row r="102" spans="2:3" x14ac:dyDescent="0.25">
      <c r="B102" s="71"/>
      <c r="C102" s="71"/>
    </row>
    <row r="103" spans="2:3" x14ac:dyDescent="0.25">
      <c r="B103" s="71"/>
      <c r="C103" s="71"/>
    </row>
    <row r="104" spans="2:3" x14ac:dyDescent="0.25">
      <c r="B104" s="71"/>
      <c r="C104" s="71"/>
    </row>
    <row r="105" spans="2:3" x14ac:dyDescent="0.25">
      <c r="B105" s="71"/>
      <c r="C105" s="71"/>
    </row>
    <row r="106" spans="2:3" x14ac:dyDescent="0.25">
      <c r="B106" s="71"/>
      <c r="C106" s="71"/>
    </row>
  </sheetData>
  <pageMargins left="0.7" right="0.7" top="0.75" bottom="0.75" header="0.3" footer="0.3"/>
  <pageSetup paperSize="9" orientation="portrait" r:id="rId1"/>
  <drawing r:id="rId2"/>
  <tableParts count="6">
    <tablePart r:id="rId3"/>
    <tablePart r:id="rId4"/>
    <tablePart r:id="rId5"/>
    <tablePart r:id="rId6"/>
    <tablePart r:id="rId7"/>
    <tablePart r:id="rId8"/>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4">
    <tabColor rgb="FFF2C80F"/>
  </sheetPr>
  <dimension ref="A1:AF42"/>
  <sheetViews>
    <sheetView zoomScale="60" zoomScaleNormal="60" workbookViewId="0">
      <selection activeCell="U26" sqref="U26"/>
    </sheetView>
  </sheetViews>
  <sheetFormatPr defaultColWidth="9.1796875" defaultRowHeight="13" x14ac:dyDescent="0.3"/>
  <cols>
    <col min="1" max="1" width="5.81640625" style="135" customWidth="1"/>
    <col min="2" max="8" width="7.7265625" style="135" customWidth="1"/>
    <col min="9" max="9" width="7.54296875" style="135" customWidth="1"/>
    <col min="10" max="11" width="7.7265625" style="135" customWidth="1"/>
    <col min="12" max="12" width="1.7265625" style="135" customWidth="1"/>
    <col min="13" max="13" width="18.1796875" style="135" customWidth="1"/>
    <col min="14" max="14" width="7.1796875" style="135" customWidth="1"/>
    <col min="15" max="15" width="9.453125" style="135" customWidth="1"/>
    <col min="16" max="16" width="3.26953125" style="135" customWidth="1"/>
    <col min="17" max="17" width="9.54296875" style="135" customWidth="1"/>
    <col min="18" max="18" width="18.453125" style="135" customWidth="1"/>
    <col min="19" max="19" width="1.81640625" style="135" customWidth="1"/>
    <col min="20" max="20" width="1.7265625" style="135" customWidth="1"/>
    <col min="21" max="21" width="9.81640625" style="135" customWidth="1"/>
    <col min="22" max="22" width="10" style="135" customWidth="1"/>
    <col min="23" max="23" width="10" style="135" bestFit="1" customWidth="1"/>
    <col min="24" max="25" width="9.81640625" style="135" customWidth="1"/>
    <col min="26" max="26" width="10" style="135" customWidth="1"/>
    <col min="27" max="27" width="6.26953125" style="135" customWidth="1"/>
    <col min="28" max="28" width="4.81640625" style="135" customWidth="1"/>
    <col min="29" max="30" width="10" style="135" customWidth="1"/>
    <col min="31" max="31" width="10.1796875" style="135" customWidth="1"/>
    <col min="32" max="32" width="9.81640625" style="135" customWidth="1"/>
    <col min="33" max="16384" width="9.1796875" style="135"/>
  </cols>
  <sheetData>
    <row r="1" spans="1:32" s="126" customFormat="1" ht="15" customHeight="1" x14ac:dyDescent="0.3"/>
    <row r="2" spans="1:32" s="126" customFormat="1" ht="15" customHeight="1" x14ac:dyDescent="0.3"/>
    <row r="3" spans="1:32" s="126" customFormat="1" ht="15" customHeight="1" x14ac:dyDescent="0.3"/>
    <row r="4" spans="1:32" s="126" customFormat="1" ht="15" customHeight="1" x14ac:dyDescent="0.3"/>
    <row r="5" spans="1:32" s="128" customFormat="1" ht="15" customHeight="1" x14ac:dyDescent="0.3"/>
    <row r="6" spans="1:32" s="130" customFormat="1" ht="16.5" customHeight="1" x14ac:dyDescent="0.3">
      <c r="A6" s="424" t="s">
        <v>1033</v>
      </c>
      <c r="B6" s="424"/>
      <c r="C6" s="424"/>
      <c r="D6" s="424"/>
      <c r="E6" s="424"/>
      <c r="F6" s="424"/>
      <c r="G6" s="424"/>
      <c r="H6" s="424"/>
      <c r="I6" s="424"/>
      <c r="J6" s="424"/>
      <c r="K6" s="424"/>
      <c r="L6" s="424"/>
      <c r="M6" s="424"/>
      <c r="N6" s="424"/>
      <c r="O6" s="424"/>
      <c r="P6" s="424"/>
      <c r="Q6" s="424"/>
      <c r="R6" s="424"/>
      <c r="S6" s="424"/>
      <c r="T6" s="424"/>
      <c r="U6" s="424"/>
      <c r="V6" s="424"/>
      <c r="W6" s="424"/>
      <c r="X6" s="424"/>
      <c r="Y6" s="424"/>
      <c r="Z6" s="424"/>
      <c r="AA6" s="241"/>
      <c r="AB6" s="241"/>
    </row>
    <row r="7" spans="1:32" s="130" customFormat="1" ht="16.5" customHeight="1" x14ac:dyDescent="0.3">
      <c r="A7" s="424"/>
      <c r="B7" s="424"/>
      <c r="C7" s="424"/>
      <c r="D7" s="424"/>
      <c r="E7" s="424"/>
      <c r="F7" s="424"/>
      <c r="G7" s="424"/>
      <c r="H7" s="424"/>
      <c r="I7" s="424"/>
      <c r="J7" s="424"/>
      <c r="K7" s="424"/>
      <c r="L7" s="424"/>
      <c r="M7" s="424"/>
      <c r="N7" s="424"/>
      <c r="O7" s="424"/>
      <c r="P7" s="424"/>
      <c r="Q7" s="424"/>
      <c r="R7" s="424"/>
      <c r="S7" s="424"/>
      <c r="T7" s="424"/>
      <c r="U7" s="424"/>
      <c r="V7" s="424"/>
      <c r="W7" s="424"/>
      <c r="X7" s="424"/>
      <c r="Y7" s="424"/>
      <c r="Z7" s="424"/>
      <c r="AA7" s="241"/>
      <c r="AB7" s="241"/>
    </row>
    <row r="8" spans="1:32" ht="14.5" x14ac:dyDescent="0.35">
      <c r="A8" s="132"/>
      <c r="B8" s="133"/>
      <c r="C8" s="133"/>
      <c r="D8" s="134"/>
      <c r="E8" s="134"/>
      <c r="H8" s="132"/>
      <c r="I8" s="136"/>
      <c r="J8" s="137"/>
      <c r="K8" s="137"/>
    </row>
    <row r="9" spans="1:32" ht="16.5" customHeight="1" x14ac:dyDescent="0.95">
      <c r="A9" s="132"/>
      <c r="B9" s="487" t="s">
        <v>39</v>
      </c>
      <c r="C9" s="487"/>
      <c r="D9" s="487"/>
      <c r="E9" s="487"/>
      <c r="F9" s="487"/>
      <c r="G9" s="487"/>
      <c r="H9" s="487"/>
      <c r="I9" s="487"/>
      <c r="J9" s="487"/>
      <c r="K9" s="487"/>
      <c r="L9" s="177"/>
      <c r="M9" s="487" t="s">
        <v>513</v>
      </c>
      <c r="N9" s="487"/>
      <c r="O9" s="487"/>
      <c r="P9" s="487"/>
      <c r="Q9" s="487"/>
      <c r="R9" s="487"/>
      <c r="S9" s="487"/>
      <c r="U9" s="491" t="s">
        <v>478</v>
      </c>
      <c r="V9" s="491"/>
      <c r="W9" s="491"/>
      <c r="X9" s="491"/>
      <c r="Y9" s="491"/>
      <c r="Z9" s="491"/>
      <c r="AA9" s="491"/>
      <c r="AB9" s="491"/>
      <c r="AC9" s="491"/>
      <c r="AD9" s="491"/>
      <c r="AE9" s="491"/>
      <c r="AF9" s="491"/>
    </row>
    <row r="10" spans="1:32" ht="16.5" customHeight="1" x14ac:dyDescent="0.95">
      <c r="A10" s="132"/>
      <c r="B10" s="488"/>
      <c r="C10" s="488"/>
      <c r="D10" s="488"/>
      <c r="E10" s="488"/>
      <c r="F10" s="488"/>
      <c r="G10" s="488"/>
      <c r="H10" s="488"/>
      <c r="I10" s="488"/>
      <c r="J10" s="488"/>
      <c r="K10" s="488"/>
      <c r="L10" s="177"/>
      <c r="M10" s="488"/>
      <c r="N10" s="488"/>
      <c r="O10" s="488"/>
      <c r="P10" s="488"/>
      <c r="Q10" s="488"/>
      <c r="R10" s="488"/>
      <c r="S10" s="488"/>
      <c r="U10" s="492"/>
      <c r="V10" s="492"/>
      <c r="W10" s="492"/>
      <c r="X10" s="492"/>
      <c r="Y10" s="492"/>
      <c r="Z10" s="492"/>
      <c r="AA10" s="492"/>
      <c r="AB10" s="492"/>
      <c r="AC10" s="492"/>
      <c r="AD10" s="492"/>
      <c r="AE10" s="492"/>
      <c r="AF10" s="492"/>
    </row>
    <row r="11" spans="1:32" ht="16.5" customHeight="1" x14ac:dyDescent="0.35">
      <c r="A11" s="132"/>
      <c r="B11" s="436" t="s">
        <v>392</v>
      </c>
      <c r="C11" s="436"/>
      <c r="D11" s="436"/>
      <c r="E11" s="436"/>
      <c r="F11" s="436"/>
      <c r="G11" s="436"/>
      <c r="H11" s="436"/>
      <c r="I11" s="436"/>
      <c r="J11" s="436"/>
      <c r="K11" s="436"/>
      <c r="L11" s="174"/>
      <c r="M11" s="490"/>
      <c r="N11" s="490"/>
      <c r="O11" s="490"/>
      <c r="P11" s="490"/>
      <c r="Q11" s="490"/>
      <c r="R11" s="490"/>
      <c r="S11" s="490"/>
      <c r="V11" s="436" t="s">
        <v>504</v>
      </c>
      <c r="W11" s="436"/>
      <c r="X11" s="436"/>
      <c r="Y11" s="436"/>
      <c r="Z11" s="436"/>
      <c r="AA11" s="436"/>
      <c r="AB11" s="436"/>
      <c r="AC11" s="436"/>
      <c r="AD11" s="436"/>
      <c r="AE11" s="436"/>
    </row>
    <row r="12" spans="1:32" ht="9.75" customHeight="1" x14ac:dyDescent="0.35">
      <c r="B12" s="132"/>
      <c r="C12" s="132"/>
      <c r="D12" s="132"/>
      <c r="U12" s="138"/>
      <c r="V12" s="242"/>
      <c r="W12" s="242"/>
      <c r="X12" s="242"/>
      <c r="Y12" s="242"/>
      <c r="AD12" s="242"/>
      <c r="AE12" s="242"/>
    </row>
    <row r="13" spans="1:32" ht="16.5" customHeight="1" x14ac:dyDescent="0.35">
      <c r="B13" s="413" t="s">
        <v>26</v>
      </c>
      <c r="C13" s="413"/>
      <c r="D13" s="413"/>
      <c r="E13" s="413"/>
      <c r="F13" s="413"/>
      <c r="G13" s="413" t="s">
        <v>12</v>
      </c>
      <c r="H13" s="413"/>
      <c r="I13" s="413"/>
      <c r="J13" s="413"/>
      <c r="K13" s="413"/>
      <c r="L13" s="180"/>
      <c r="M13" s="156"/>
      <c r="N13" s="156"/>
      <c r="O13" s="156"/>
      <c r="P13" s="156"/>
      <c r="Q13" s="156"/>
      <c r="R13" s="156"/>
      <c r="S13" s="156"/>
      <c r="T13" s="138"/>
      <c r="U13" s="243"/>
    </row>
    <row r="14" spans="1:32" ht="16.5" customHeight="1" x14ac:dyDescent="0.3">
      <c r="B14" s="489">
        <f>IFERROR(Biodiversity!R45,0)</f>
        <v>0</v>
      </c>
      <c r="C14" s="489"/>
      <c r="D14" s="489"/>
      <c r="E14" s="489"/>
      <c r="F14" s="489"/>
      <c r="G14" s="489">
        <f>IFERROR(Biodiversity!S45,0)</f>
        <v>0</v>
      </c>
      <c r="H14" s="489"/>
      <c r="I14" s="489"/>
      <c r="J14" s="489"/>
      <c r="K14" s="489"/>
      <c r="L14" s="182"/>
      <c r="M14" s="156"/>
      <c r="N14" s="156"/>
      <c r="O14" s="156"/>
      <c r="P14" s="156"/>
      <c r="Q14" s="156"/>
      <c r="R14" s="156"/>
      <c r="S14" s="156"/>
      <c r="T14" s="138"/>
      <c r="U14" s="242"/>
    </row>
    <row r="15" spans="1:32" ht="16.5" customHeight="1" x14ac:dyDescent="0.3">
      <c r="B15" s="489"/>
      <c r="C15" s="489"/>
      <c r="D15" s="489"/>
      <c r="E15" s="489"/>
      <c r="F15" s="489"/>
      <c r="G15" s="489"/>
      <c r="H15" s="489"/>
      <c r="I15" s="489"/>
      <c r="J15" s="489"/>
      <c r="K15" s="489"/>
      <c r="L15" s="182"/>
      <c r="M15" s="156"/>
      <c r="N15" s="156"/>
      <c r="O15" s="156"/>
      <c r="P15" s="156"/>
      <c r="Q15" s="156"/>
      <c r="R15" s="156"/>
      <c r="S15" s="156"/>
      <c r="T15" s="138"/>
      <c r="U15" s="242"/>
      <c r="V15" s="484" t="str">
        <f>IF(Biodiversity!C80="Yes","In",IF(Biodiversity!C80="Next to","Next to",IF(Biodiversity!C80="No","Not in ","")))</f>
        <v/>
      </c>
      <c r="W15" s="484"/>
      <c r="X15" s="484" t="str">
        <f>IF(Biodiversity!C81="Yes","In",IF(Biodiversity!C81="Next to","Next to",IF(Biodiversity!C81="No","Not in ","")))</f>
        <v/>
      </c>
      <c r="Y15" s="484"/>
      <c r="Z15" s="484" t="str">
        <f>CONCATENATE('Biodiversity Assessment'!I120,"%")</f>
        <v>0%</v>
      </c>
      <c r="AA15" s="484"/>
      <c r="AB15" s="484"/>
      <c r="AC15" s="484"/>
      <c r="AD15" s="484" t="str">
        <f>IF('Biodiversity Assessment'!I122="&lt;10% water stress","&lt; 10%",IF('Biodiversity Assessment'!I122="10-20% water stress","10-20%",IF('Biodiversity Assessment'!I122="20-40% water stress","20-40%",IF('Biodiversity Assessment'!I122="40-80% water stress","40-80%",IF('Biodiversity Assessment'!I122="&gt; 80% water stress","&gt; 80%",IF('Biodiversity Assessment'!I122="Arid or low water use","Arid",""))))))</f>
        <v/>
      </c>
      <c r="AE15" s="484"/>
    </row>
    <row r="16" spans="1:32" ht="16.5" customHeight="1" thickBot="1" x14ac:dyDescent="0.35">
      <c r="B16" s="489"/>
      <c r="C16" s="489"/>
      <c r="D16" s="489"/>
      <c r="E16" s="489"/>
      <c r="F16" s="489"/>
      <c r="G16" s="489"/>
      <c r="H16" s="489"/>
      <c r="I16" s="489"/>
      <c r="J16" s="489"/>
      <c r="K16" s="489"/>
      <c r="L16" s="182"/>
      <c r="M16" s="156"/>
      <c r="N16" s="156"/>
      <c r="O16" s="156"/>
      <c r="P16" s="156"/>
      <c r="Q16" s="156"/>
      <c r="R16" s="156"/>
      <c r="S16" s="156"/>
      <c r="V16" s="483" t="s">
        <v>1034</v>
      </c>
      <c r="W16" s="483"/>
      <c r="X16" s="483" t="s">
        <v>17</v>
      </c>
      <c r="Y16" s="483"/>
      <c r="Z16" s="481" t="s">
        <v>495</v>
      </c>
      <c r="AA16" s="481"/>
      <c r="AB16" s="481"/>
      <c r="AC16" s="481"/>
      <c r="AD16" s="483" t="s">
        <v>496</v>
      </c>
      <c r="AE16" s="483"/>
    </row>
    <row r="17" spans="2:31" ht="16.5" customHeight="1" x14ac:dyDescent="0.3">
      <c r="B17" s="182"/>
      <c r="C17" s="182"/>
      <c r="D17" s="182"/>
      <c r="E17" s="182"/>
      <c r="F17" s="182"/>
      <c r="G17" s="182"/>
      <c r="H17" s="182"/>
      <c r="I17" s="182"/>
      <c r="J17" s="182"/>
      <c r="K17" s="182"/>
      <c r="L17" s="182"/>
      <c r="M17" s="156"/>
      <c r="N17" s="156"/>
      <c r="O17" s="156"/>
      <c r="P17" s="156"/>
      <c r="Q17" s="156"/>
      <c r="R17" s="156"/>
      <c r="S17" s="156"/>
      <c r="Z17" s="244"/>
      <c r="AA17" s="244"/>
      <c r="AB17" s="244"/>
      <c r="AC17" s="244"/>
      <c r="AD17" s="245"/>
      <c r="AE17" s="245">
        <f>'Biodiversity Assessment'!O123</f>
        <v>0</v>
      </c>
    </row>
    <row r="18" spans="2:31" ht="16.5" customHeight="1" x14ac:dyDescent="0.3">
      <c r="B18" s="182"/>
      <c r="C18" s="182"/>
      <c r="D18" s="182"/>
      <c r="E18" s="182"/>
      <c r="F18" s="182"/>
      <c r="G18" s="182"/>
      <c r="H18" s="182"/>
      <c r="I18" s="182"/>
      <c r="J18" s="182"/>
      <c r="K18" s="182"/>
      <c r="L18" s="182"/>
      <c r="M18" s="182"/>
      <c r="R18" s="485"/>
      <c r="V18" s="480" t="str">
        <f>'Biodiversity Assessment'!S118</f>
        <v>Please select</v>
      </c>
      <c r="W18" s="480"/>
      <c r="X18" s="480" t="str">
        <f>'Biodiversity Assessment'!S119</f>
        <v>Please select</v>
      </c>
      <c r="Y18" s="480"/>
      <c r="Z18" s="480" t="str">
        <f>'Biodiversity Assessment'!S120</f>
        <v>Please select</v>
      </c>
      <c r="AA18" s="480"/>
      <c r="AB18" s="480" t="str">
        <f>'Biodiversity Assessment'!S121</f>
        <v>Please select</v>
      </c>
      <c r="AC18" s="480"/>
      <c r="AD18" s="480" t="str">
        <f>'Biodiversity Assessment'!S122</f>
        <v>Please select</v>
      </c>
      <c r="AE18" s="480"/>
    </row>
    <row r="19" spans="2:31" ht="16.5" customHeight="1" x14ac:dyDescent="0.3">
      <c r="R19" s="485"/>
      <c r="V19" s="482" t="s">
        <v>497</v>
      </c>
      <c r="W19" s="482"/>
      <c r="X19" s="482" t="s">
        <v>498</v>
      </c>
      <c r="Y19" s="482"/>
      <c r="Z19" s="482" t="s">
        <v>499</v>
      </c>
      <c r="AA19" s="482"/>
      <c r="AB19" s="482" t="s">
        <v>500</v>
      </c>
      <c r="AC19" s="482"/>
      <c r="AD19" s="482" t="s">
        <v>501</v>
      </c>
      <c r="AE19" s="482"/>
    </row>
    <row r="20" spans="2:31" ht="16.5" customHeight="1" x14ac:dyDescent="0.4">
      <c r="R20" s="485"/>
      <c r="U20" s="187"/>
      <c r="V20" s="482"/>
      <c r="W20" s="482"/>
      <c r="X20" s="482"/>
      <c r="Y20" s="482"/>
      <c r="Z20" s="482"/>
      <c r="AA20" s="482"/>
      <c r="AB20" s="482"/>
      <c r="AC20" s="482"/>
      <c r="AD20" s="482"/>
      <c r="AE20" s="482"/>
    </row>
    <row r="21" spans="2:31" ht="16.5" customHeight="1" x14ac:dyDescent="0.3">
      <c r="M21" s="486"/>
      <c r="N21" s="486"/>
      <c r="O21" s="486"/>
      <c r="P21" s="486"/>
      <c r="Q21" s="486"/>
      <c r="R21" s="486"/>
      <c r="S21" s="486"/>
      <c r="U21" s="247"/>
      <c r="V21" s="480" t="str">
        <f>Biodiversity!H86</f>
        <v>The project has an expected positive impact on the local biodiversity</v>
      </c>
      <c r="W21" s="480"/>
      <c r="X21" s="480"/>
      <c r="Y21" s="480"/>
      <c r="Z21" s="480"/>
      <c r="AA21" s="480"/>
      <c r="AB21" s="480"/>
      <c r="AC21" s="480"/>
      <c r="AD21" s="480"/>
      <c r="AE21" s="480"/>
    </row>
    <row r="22" spans="2:31" ht="16.5" customHeight="1" x14ac:dyDescent="0.3">
      <c r="U22" s="247"/>
      <c r="V22" s="248"/>
      <c r="W22" s="248"/>
      <c r="X22" s="249"/>
      <c r="Y22" s="249"/>
      <c r="Z22" s="248"/>
      <c r="AA22" s="248"/>
      <c r="AB22" s="248"/>
      <c r="AC22" s="248"/>
      <c r="AD22" s="246"/>
      <c r="AE22" s="246"/>
    </row>
    <row r="23" spans="2:31" ht="16.5" customHeight="1" x14ac:dyDescent="0.3">
      <c r="M23" s="250"/>
      <c r="U23" s="247"/>
      <c r="V23" s="435" t="s">
        <v>502</v>
      </c>
      <c r="W23" s="435"/>
      <c r="X23" s="435"/>
      <c r="Y23" s="435"/>
      <c r="Z23" s="435"/>
      <c r="AA23" s="435"/>
      <c r="AB23" s="435"/>
      <c r="AC23" s="435"/>
      <c r="AD23" s="435"/>
      <c r="AE23" s="435"/>
    </row>
    <row r="24" spans="2:31" ht="16.5" customHeight="1" x14ac:dyDescent="0.3">
      <c r="M24" s="250"/>
      <c r="O24" s="494"/>
      <c r="P24" s="494"/>
      <c r="U24" s="247"/>
      <c r="V24" s="438"/>
      <c r="W24" s="438"/>
      <c r="X24" s="438"/>
      <c r="Y24" s="438"/>
    </row>
    <row r="25" spans="2:31" ht="16.5" customHeight="1" x14ac:dyDescent="0.3">
      <c r="M25" s="250"/>
      <c r="O25" s="495"/>
      <c r="P25" s="495"/>
      <c r="U25" s="247"/>
      <c r="V25" s="474" t="s">
        <v>475</v>
      </c>
      <c r="W25" s="474"/>
      <c r="X25" s="474"/>
      <c r="Y25" s="474"/>
      <c r="Z25" s="475"/>
      <c r="AA25" s="476">
        <f>Biodiversity!D88</f>
        <v>0</v>
      </c>
      <c r="AB25" s="477"/>
      <c r="AC25" s="472" t="s">
        <v>123</v>
      </c>
      <c r="AD25" s="469" t="s">
        <v>396</v>
      </c>
      <c r="AE25" s="467">
        <f>Biodiversity!E88</f>
        <v>0</v>
      </c>
    </row>
    <row r="26" spans="2:31" ht="16.5" customHeight="1" x14ac:dyDescent="0.3">
      <c r="O26" s="438"/>
      <c r="P26" s="438"/>
      <c r="U26" s="247"/>
      <c r="V26" s="474"/>
      <c r="W26" s="474"/>
      <c r="X26" s="474"/>
      <c r="Y26" s="474"/>
      <c r="Z26" s="475"/>
      <c r="AA26" s="476"/>
      <c r="AB26" s="477"/>
      <c r="AC26" s="472"/>
      <c r="AD26" s="469"/>
      <c r="AE26" s="467"/>
    </row>
    <row r="27" spans="2:31" ht="13.5" customHeight="1" x14ac:dyDescent="0.3">
      <c r="V27" s="474" t="s">
        <v>476</v>
      </c>
      <c r="W27" s="474"/>
      <c r="X27" s="474"/>
      <c r="Y27" s="474"/>
      <c r="Z27" s="475"/>
      <c r="AA27" s="476">
        <f>Biodiversity!D89</f>
        <v>0</v>
      </c>
      <c r="AB27" s="477"/>
      <c r="AC27" s="473" t="s">
        <v>123</v>
      </c>
      <c r="AD27" s="470" t="str">
        <f>AD25</f>
        <v>USD</v>
      </c>
      <c r="AE27" s="467">
        <f>Biodiversity!E89</f>
        <v>0</v>
      </c>
    </row>
    <row r="28" spans="2:31" x14ac:dyDescent="0.3">
      <c r="M28" s="496" t="s">
        <v>514</v>
      </c>
      <c r="V28" s="474"/>
      <c r="W28" s="474"/>
      <c r="X28" s="474"/>
      <c r="Y28" s="474"/>
      <c r="Z28" s="475"/>
      <c r="AA28" s="476"/>
      <c r="AB28" s="477"/>
      <c r="AC28" s="473"/>
      <c r="AD28" s="470"/>
      <c r="AE28" s="467"/>
    </row>
    <row r="29" spans="2:31" ht="4.5" customHeight="1" x14ac:dyDescent="0.3">
      <c r="M29" s="496"/>
      <c r="V29" s="191"/>
      <c r="W29" s="191"/>
      <c r="X29" s="191"/>
      <c r="Y29" s="191"/>
      <c r="Z29" s="251"/>
      <c r="AA29" s="252"/>
      <c r="AB29" s="253"/>
      <c r="AC29" s="254"/>
      <c r="AD29" s="255"/>
      <c r="AE29" s="256"/>
    </row>
    <row r="30" spans="2:31" ht="16.5" customHeight="1" x14ac:dyDescent="0.3">
      <c r="B30" s="138"/>
      <c r="M30" s="496"/>
      <c r="V30" s="474" t="s">
        <v>517</v>
      </c>
      <c r="W30" s="474"/>
      <c r="X30" s="474"/>
      <c r="Y30" s="474"/>
      <c r="Z30" s="475"/>
      <c r="AA30" s="478">
        <f>Biodiversity!D90</f>
        <v>0</v>
      </c>
      <c r="AB30" s="479"/>
      <c r="AC30" s="466" t="s">
        <v>123</v>
      </c>
      <c r="AD30" s="471" t="str">
        <f>AD27</f>
        <v>USD</v>
      </c>
      <c r="AE30" s="468">
        <f>Biodiversity!E90</f>
        <v>0</v>
      </c>
    </row>
    <row r="31" spans="2:31" ht="16.5" customHeight="1" x14ac:dyDescent="0.3">
      <c r="B31" s="138"/>
      <c r="M31" s="489">
        <f>IFERROR(Biodiversity!R52,0)</f>
        <v>0</v>
      </c>
      <c r="N31" s="497" t="s">
        <v>515</v>
      </c>
      <c r="O31" s="497"/>
      <c r="P31" s="497"/>
      <c r="Q31" s="497"/>
      <c r="R31" s="489">
        <f>IFERROR(Biodiversity!S52,0)</f>
        <v>0</v>
      </c>
      <c r="V31" s="474"/>
      <c r="W31" s="474"/>
      <c r="X31" s="474"/>
      <c r="Y31" s="474"/>
      <c r="Z31" s="475"/>
      <c r="AA31" s="478"/>
      <c r="AB31" s="479"/>
      <c r="AC31" s="466"/>
      <c r="AD31" s="471"/>
      <c r="AE31" s="468"/>
    </row>
    <row r="32" spans="2:31" ht="16.5" customHeight="1" x14ac:dyDescent="0.3">
      <c r="B32" s="138"/>
      <c r="M32" s="489"/>
      <c r="N32" s="497"/>
      <c r="O32" s="497"/>
      <c r="P32" s="497"/>
      <c r="Q32" s="497"/>
      <c r="R32" s="489"/>
    </row>
    <row r="33" spans="2:18" ht="16.5" customHeight="1" x14ac:dyDescent="0.3">
      <c r="B33" s="138"/>
      <c r="M33" s="489"/>
      <c r="N33" s="493" t="str">
        <f>'Biodiversity Assessment'!BL15</f>
        <v>Extinction risk</v>
      </c>
      <c r="O33" s="493"/>
      <c r="P33" s="493"/>
      <c r="Q33" s="493"/>
      <c r="R33" s="489"/>
    </row>
    <row r="34" spans="2:18" ht="18.75" customHeight="1" x14ac:dyDescent="0.35">
      <c r="M34" s="257" t="str">
        <f>B13</f>
        <v>Without project</v>
      </c>
      <c r="N34" s="493"/>
      <c r="O34" s="493"/>
      <c r="P34" s="493"/>
      <c r="Q34" s="493"/>
      <c r="R34" s="257" t="str">
        <f>G13</f>
        <v>With project</v>
      </c>
    </row>
    <row r="36" spans="2:18" ht="18" customHeight="1" x14ac:dyDescent="0.3"/>
    <row r="38" spans="2:18" ht="12.75" customHeight="1" x14ac:dyDescent="0.3"/>
    <row r="39" spans="2:18" ht="12.75" customHeight="1" x14ac:dyDescent="0.3"/>
    <row r="40" spans="2:18" ht="12.75" customHeight="1" x14ac:dyDescent="0.3"/>
    <row r="41" spans="2:18" ht="12.75" customHeight="1" x14ac:dyDescent="0.3"/>
    <row r="42" spans="2:18" ht="12.75" customHeight="1" x14ac:dyDescent="0.3"/>
  </sheetData>
  <sheetProtection algorithmName="SHA-512" hashValue="Wh+gS7m+JHq3SJMEGuucMAJHgAadL7vf2zkYJoGrIRn3TOVTmBCMYSKDe+9ONcaD87N7KxVVWs9yvUtMgvdgeg==" saltValue="Zz2bE89yet0JcMtdSPp+Zg==" spinCount="100000" sheet="1" objects="1" scenarios="1"/>
  <mergeCells count="57">
    <mergeCell ref="N33:Q34"/>
    <mergeCell ref="M31:M33"/>
    <mergeCell ref="R31:R33"/>
    <mergeCell ref="O24:P24"/>
    <mergeCell ref="O25:P25"/>
    <mergeCell ref="O26:P26"/>
    <mergeCell ref="M28:M30"/>
    <mergeCell ref="N31:Q32"/>
    <mergeCell ref="R18:R20"/>
    <mergeCell ref="M21:S21"/>
    <mergeCell ref="V23:AE23"/>
    <mergeCell ref="V24:Y24"/>
    <mergeCell ref="A6:Z7"/>
    <mergeCell ref="B9:K10"/>
    <mergeCell ref="B11:K11"/>
    <mergeCell ref="B13:F13"/>
    <mergeCell ref="G13:K13"/>
    <mergeCell ref="B14:F16"/>
    <mergeCell ref="G14:K16"/>
    <mergeCell ref="M9:S10"/>
    <mergeCell ref="M11:S11"/>
    <mergeCell ref="Z15:AC15"/>
    <mergeCell ref="V11:AE11"/>
    <mergeCell ref="U9:AF10"/>
    <mergeCell ref="AD15:AE15"/>
    <mergeCell ref="X16:Y16"/>
    <mergeCell ref="AD16:AE16"/>
    <mergeCell ref="V15:W15"/>
    <mergeCell ref="X15:Y15"/>
    <mergeCell ref="V21:AE21"/>
    <mergeCell ref="AD18:AE18"/>
    <mergeCell ref="Z18:AA18"/>
    <mergeCell ref="AB18:AC18"/>
    <mergeCell ref="Z16:AC16"/>
    <mergeCell ref="V19:W20"/>
    <mergeCell ref="Z19:AA20"/>
    <mergeCell ref="AB19:AC20"/>
    <mergeCell ref="X19:Y20"/>
    <mergeCell ref="V18:W18"/>
    <mergeCell ref="X18:Y18"/>
    <mergeCell ref="V16:W16"/>
    <mergeCell ref="AD19:AE20"/>
    <mergeCell ref="V30:Z31"/>
    <mergeCell ref="V27:Z28"/>
    <mergeCell ref="AA27:AB28"/>
    <mergeCell ref="V25:Z26"/>
    <mergeCell ref="AA25:AB26"/>
    <mergeCell ref="AA30:AB31"/>
    <mergeCell ref="AC30:AC31"/>
    <mergeCell ref="AE27:AE28"/>
    <mergeCell ref="AE30:AE31"/>
    <mergeCell ref="AE25:AE26"/>
    <mergeCell ref="AD25:AD26"/>
    <mergeCell ref="AD27:AD28"/>
    <mergeCell ref="AD30:AD31"/>
    <mergeCell ref="AC25:AC26"/>
    <mergeCell ref="AC27:AC28"/>
  </mergeCells>
  <conditionalFormatting sqref="AF17:AF21">
    <cfRule type="colorScale" priority="50">
      <colorScale>
        <cfvo type="min"/>
        <cfvo type="max"/>
        <color rgb="FF5F6B6D"/>
        <color rgb="FFF2C80F"/>
      </colorScale>
    </cfRule>
  </conditionalFormatting>
  <conditionalFormatting sqref="J60:K60">
    <cfRule type="expression" priority="22">
      <formula>$U$13="High Pressure"</formula>
    </cfRule>
  </conditionalFormatting>
  <conditionalFormatting sqref="V18:W18">
    <cfRule type="expression" dxfId="20" priority="19">
      <formula>$V$18="Neutral"</formula>
    </cfRule>
    <cfRule type="expression" dxfId="19" priority="20">
      <formula>$V$18="Negative"</formula>
    </cfRule>
    <cfRule type="expression" dxfId="18" priority="21">
      <formula>$V$18="Positive"</formula>
    </cfRule>
  </conditionalFormatting>
  <conditionalFormatting sqref="X18:Y18">
    <cfRule type="expression" dxfId="17" priority="16">
      <formula>$X$18="Neutral"</formula>
    </cfRule>
    <cfRule type="expression" dxfId="16" priority="17">
      <formula>$X$18="Negative"</formula>
    </cfRule>
    <cfRule type="expression" dxfId="15" priority="18">
      <formula>$X$18="Positive"</formula>
    </cfRule>
  </conditionalFormatting>
  <conditionalFormatting sqref="Z18:AA18">
    <cfRule type="expression" dxfId="14" priority="13">
      <formula>$Z$18="Neutral"</formula>
    </cfRule>
    <cfRule type="expression" dxfId="13" priority="14">
      <formula>$Z$18="Negative"</formula>
    </cfRule>
    <cfRule type="expression" dxfId="12" priority="15">
      <formula>$Z$18="Positive"</formula>
    </cfRule>
  </conditionalFormatting>
  <conditionalFormatting sqref="AB18:AC18">
    <cfRule type="expression" dxfId="11" priority="10">
      <formula>$AB$18="Neutral"</formula>
    </cfRule>
    <cfRule type="expression" dxfId="10" priority="11">
      <formula>$AB$18="Decrease"</formula>
    </cfRule>
    <cfRule type="expression" dxfId="9" priority="12">
      <formula>$AB$18="Increase"</formula>
    </cfRule>
  </conditionalFormatting>
  <conditionalFormatting sqref="AD18:AE18">
    <cfRule type="expression" dxfId="8" priority="7">
      <formula>$AD$18="Neutral"</formula>
    </cfRule>
    <cfRule type="expression" dxfId="7" priority="8">
      <formula>$AD$18="Negative"</formula>
    </cfRule>
    <cfRule type="expression" dxfId="6" priority="9">
      <formula>$AD$18="Positive"</formula>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4" id="{53A86EA5-43CB-4EE3-BD6C-E341D48B742C}">
            <xm:f>Biodiversity!$G$85=0</xm:f>
            <x14:dxf>
              <fill>
                <patternFill>
                  <bgColor rgb="FFF2C80F"/>
                </patternFill>
              </fill>
            </x14:dxf>
          </x14:cfRule>
          <x14:cfRule type="expression" priority="5" id="{E4467FCB-4D0D-4C9D-AFD4-F53526094751}">
            <xm:f>Biodiversity!$G$85&lt;0</xm:f>
            <x14:dxf>
              <fill>
                <patternFill>
                  <bgColor rgb="FFFF0000"/>
                </patternFill>
              </fill>
            </x14:dxf>
          </x14:cfRule>
          <x14:cfRule type="expression" priority="6" id="{59E446C6-738D-49E7-BB4A-7F4B14F69895}">
            <xm:f>Biodiversity!$G$85&gt;0</xm:f>
            <x14:dxf>
              <fill>
                <patternFill>
                  <bgColor theme="6"/>
                </patternFill>
              </fill>
            </x14:dxf>
          </x14:cfRule>
          <xm:sqref>V21</xm:sqref>
        </x14:conditionalFormatting>
        <x14:conditionalFormatting xmlns:xm="http://schemas.microsoft.com/office/excel/2006/main">
          <x14:cfRule type="expression" priority="3" id="{91B439E7-8764-424E-B585-D7C1D077B167}">
            <xm:f>'Biodiversity Assessment'!$BL$11="No"</xm:f>
            <x14:dxf>
              <font>
                <color rgb="FFF2F2F2"/>
              </font>
              <fill>
                <patternFill>
                  <bgColor rgb="FFF2F2F2"/>
                </patternFill>
              </fill>
              <border>
                <left/>
                <right/>
                <top/>
                <bottom/>
              </border>
            </x14:dxf>
          </x14:cfRule>
          <xm:sqref>M28:R36</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28">
    <tabColor rgb="FF727D7F"/>
    <pageSetUpPr fitToPage="1"/>
  </sheetPr>
  <dimension ref="A1:IU126"/>
  <sheetViews>
    <sheetView zoomScale="80" zoomScaleNormal="80" workbookViewId="0">
      <pane ySplit="4" topLeftCell="A5" activePane="bottomLeft" state="frozen"/>
      <selection activeCell="O43" sqref="O43"/>
      <selection pane="bottomLeft" activeCell="H11" sqref="H11"/>
    </sheetView>
  </sheetViews>
  <sheetFormatPr defaultColWidth="11.453125" defaultRowHeight="12.75" customHeight="1" x14ac:dyDescent="0.3"/>
  <cols>
    <col min="1" max="1" width="3.54296875" style="263" customWidth="1"/>
    <col min="2" max="8" width="11.453125" style="263"/>
    <col min="9" max="9" width="6" style="263" customWidth="1"/>
    <col min="10" max="10" width="15.54296875" style="263" customWidth="1"/>
    <col min="11" max="11" width="1.81640625" style="263" customWidth="1"/>
    <col min="12" max="12" width="13.453125" style="263" customWidth="1"/>
    <col min="13" max="13" width="1.81640625" style="263" customWidth="1"/>
    <col min="14" max="14" width="17.08984375" style="263" customWidth="1"/>
    <col min="15" max="15" width="1.81640625" style="263" customWidth="1"/>
    <col min="16" max="17" width="14.7265625" style="263" customWidth="1"/>
    <col min="18" max="16384" width="11.453125" style="263"/>
  </cols>
  <sheetData>
    <row r="1" spans="1:255" s="258" customFormat="1" ht="15" customHeight="1" x14ac:dyDescent="0.3"/>
    <row r="2" spans="1:255" s="258" customFormat="1" ht="15" customHeight="1" x14ac:dyDescent="0.3"/>
    <row r="3" spans="1:255" s="258" customFormat="1" ht="15" customHeight="1" x14ac:dyDescent="0.3"/>
    <row r="4" spans="1:255" s="258" customFormat="1" ht="15" customHeight="1" x14ac:dyDescent="0.3">
      <c r="A4" s="259"/>
      <c r="B4" s="260"/>
      <c r="C4" s="260"/>
      <c r="E4" s="260"/>
      <c r="F4" s="260"/>
      <c r="G4" s="260"/>
      <c r="I4" s="260"/>
      <c r="L4" s="260"/>
      <c r="M4" s="260"/>
      <c r="N4" s="260"/>
      <c r="O4" s="260"/>
      <c r="Q4" s="499"/>
      <c r="R4" s="499"/>
      <c r="S4" s="499"/>
      <c r="U4" s="499"/>
      <c r="V4" s="499"/>
      <c r="W4" s="499"/>
      <c r="Y4" s="499"/>
      <c r="Z4" s="499"/>
      <c r="AA4" s="499"/>
      <c r="AC4" s="499"/>
      <c r="AD4" s="499"/>
      <c r="AE4" s="499"/>
      <c r="AG4" s="499"/>
      <c r="AH4" s="499"/>
      <c r="AI4" s="499"/>
      <c r="AK4" s="499"/>
      <c r="AL4" s="499"/>
      <c r="AM4" s="499"/>
      <c r="AO4" s="499"/>
      <c r="AP4" s="499"/>
      <c r="AQ4" s="499"/>
      <c r="AS4" s="499"/>
      <c r="AT4" s="499"/>
      <c r="AU4" s="499"/>
      <c r="AW4" s="499"/>
      <c r="AX4" s="499"/>
      <c r="AY4" s="499"/>
      <c r="BA4" s="499"/>
      <c r="BB4" s="499"/>
      <c r="BC4" s="499"/>
      <c r="BE4" s="499"/>
      <c r="BF4" s="499"/>
      <c r="BG4" s="499"/>
      <c r="BI4" s="499"/>
      <c r="BJ4" s="499"/>
      <c r="BK4" s="499"/>
      <c r="BM4" s="499"/>
      <c r="BN4" s="499"/>
      <c r="BO4" s="499"/>
      <c r="BQ4" s="499"/>
      <c r="BR4" s="499"/>
      <c r="BS4" s="499"/>
      <c r="BU4" s="499"/>
      <c r="BV4" s="499"/>
      <c r="BW4" s="499"/>
      <c r="BY4" s="499"/>
      <c r="BZ4" s="499"/>
      <c r="CA4" s="499"/>
      <c r="CC4" s="499"/>
      <c r="CD4" s="499"/>
      <c r="CE4" s="499"/>
      <c r="CG4" s="499"/>
      <c r="CH4" s="499"/>
      <c r="CI4" s="499"/>
      <c r="CK4" s="499"/>
      <c r="CL4" s="499"/>
      <c r="CM4" s="499"/>
      <c r="CO4" s="499"/>
      <c r="CP4" s="499"/>
      <c r="CQ4" s="499"/>
      <c r="CS4" s="499"/>
      <c r="CT4" s="499"/>
      <c r="CU4" s="499"/>
      <c r="CW4" s="499"/>
      <c r="CX4" s="499"/>
      <c r="CY4" s="499"/>
      <c r="DA4" s="499"/>
      <c r="DB4" s="499"/>
      <c r="DC4" s="499"/>
      <c r="DE4" s="499"/>
      <c r="DF4" s="499"/>
      <c r="DG4" s="499"/>
      <c r="DI4" s="499"/>
      <c r="DJ4" s="499"/>
      <c r="DK4" s="499"/>
      <c r="DM4" s="499"/>
      <c r="DN4" s="499"/>
      <c r="DO4" s="499"/>
      <c r="DQ4" s="499"/>
      <c r="DR4" s="499"/>
      <c r="DS4" s="499"/>
      <c r="DU4" s="499"/>
      <c r="DV4" s="499"/>
      <c r="DW4" s="499"/>
      <c r="DY4" s="499"/>
      <c r="DZ4" s="499"/>
      <c r="EA4" s="499"/>
      <c r="EC4" s="499"/>
      <c r="ED4" s="499"/>
      <c r="EE4" s="499"/>
      <c r="EG4" s="499"/>
      <c r="EH4" s="499"/>
      <c r="EI4" s="499"/>
      <c r="EK4" s="499"/>
      <c r="EL4" s="499"/>
      <c r="EM4" s="499"/>
      <c r="EO4" s="499"/>
      <c r="EP4" s="499"/>
      <c r="EQ4" s="499"/>
      <c r="ES4" s="499"/>
      <c r="ET4" s="499"/>
      <c r="EU4" s="499"/>
      <c r="EW4" s="499"/>
      <c r="EX4" s="499"/>
      <c r="EY4" s="499"/>
      <c r="FA4" s="499"/>
      <c r="FB4" s="499"/>
      <c r="FC4" s="499"/>
      <c r="FE4" s="499"/>
      <c r="FF4" s="499"/>
      <c r="FG4" s="499"/>
      <c r="FI4" s="499"/>
      <c r="FJ4" s="499"/>
      <c r="FK4" s="499"/>
      <c r="FM4" s="499"/>
      <c r="FN4" s="499"/>
      <c r="FO4" s="499"/>
      <c r="FQ4" s="499"/>
      <c r="FR4" s="499"/>
      <c r="FS4" s="499"/>
      <c r="FU4" s="499"/>
      <c r="FV4" s="499"/>
      <c r="FW4" s="499"/>
      <c r="FY4" s="499"/>
      <c r="FZ4" s="499"/>
      <c r="GA4" s="499"/>
      <c r="GC4" s="499"/>
      <c r="GD4" s="499"/>
      <c r="GE4" s="499"/>
      <c r="GG4" s="499"/>
      <c r="GH4" s="499"/>
      <c r="GI4" s="499"/>
      <c r="GK4" s="499"/>
      <c r="GL4" s="499"/>
      <c r="GM4" s="499"/>
      <c r="GO4" s="499"/>
      <c r="GP4" s="499"/>
      <c r="GQ4" s="499"/>
      <c r="GS4" s="499"/>
      <c r="GT4" s="499"/>
      <c r="GU4" s="499"/>
      <c r="GW4" s="499"/>
      <c r="GX4" s="499"/>
      <c r="GY4" s="499"/>
      <c r="HA4" s="499"/>
      <c r="HB4" s="499"/>
      <c r="HC4" s="499"/>
      <c r="HE4" s="499"/>
      <c r="HF4" s="499"/>
      <c r="HG4" s="499"/>
      <c r="HI4" s="499"/>
      <c r="HJ4" s="499"/>
      <c r="HK4" s="499"/>
      <c r="HM4" s="499"/>
      <c r="HN4" s="499"/>
      <c r="HO4" s="499"/>
      <c r="HQ4" s="499"/>
      <c r="HR4" s="499"/>
      <c r="HS4" s="499"/>
      <c r="HU4" s="499"/>
      <c r="HV4" s="499"/>
      <c r="HW4" s="499"/>
      <c r="HY4" s="499"/>
      <c r="HZ4" s="499"/>
      <c r="IA4" s="499"/>
      <c r="IC4" s="499"/>
      <c r="ID4" s="499"/>
      <c r="IE4" s="499"/>
      <c r="IG4" s="499"/>
      <c r="IH4" s="499"/>
      <c r="II4" s="499"/>
      <c r="IK4" s="499"/>
      <c r="IL4" s="499"/>
      <c r="IM4" s="499"/>
      <c r="IO4" s="499"/>
      <c r="IP4" s="499"/>
      <c r="IQ4" s="499"/>
      <c r="IS4" s="499"/>
      <c r="IT4" s="499"/>
      <c r="IU4" s="499"/>
    </row>
    <row r="5" spans="1:255" ht="9.65" customHeight="1" x14ac:dyDescent="0.3">
      <c r="A5" s="261"/>
      <c r="B5" s="262"/>
      <c r="C5" s="262"/>
      <c r="E5" s="262"/>
      <c r="F5" s="262"/>
      <c r="G5" s="262"/>
      <c r="I5" s="262"/>
      <c r="L5" s="262"/>
      <c r="M5" s="262"/>
      <c r="N5" s="262"/>
      <c r="O5" s="262"/>
      <c r="Q5" s="264"/>
      <c r="R5" s="264"/>
      <c r="S5" s="264"/>
      <c r="U5" s="264"/>
      <c r="V5" s="264"/>
      <c r="W5" s="264"/>
      <c r="Y5" s="264"/>
      <c r="Z5" s="264"/>
      <c r="AA5" s="264"/>
      <c r="AC5" s="264"/>
      <c r="AD5" s="264"/>
      <c r="AE5" s="264"/>
      <c r="AG5" s="264"/>
      <c r="AH5" s="264"/>
      <c r="AI5" s="264"/>
      <c r="AK5" s="264"/>
      <c r="AL5" s="264"/>
      <c r="AM5" s="264"/>
      <c r="AO5" s="264"/>
      <c r="AP5" s="264"/>
      <c r="AQ5" s="264"/>
      <c r="AS5" s="264"/>
      <c r="AT5" s="264"/>
      <c r="AU5" s="264"/>
      <c r="AW5" s="264"/>
      <c r="AX5" s="264"/>
      <c r="AY5" s="264"/>
      <c r="BA5" s="264"/>
      <c r="BB5" s="264"/>
      <c r="BC5" s="264"/>
      <c r="BE5" s="264"/>
      <c r="BF5" s="264"/>
      <c r="BG5" s="264"/>
      <c r="BI5" s="264"/>
      <c r="BJ5" s="264"/>
      <c r="BK5" s="264"/>
      <c r="BM5" s="264"/>
      <c r="BN5" s="264"/>
      <c r="BO5" s="264"/>
      <c r="BQ5" s="264"/>
      <c r="BR5" s="264"/>
      <c r="BS5" s="264"/>
      <c r="BU5" s="264"/>
      <c r="BV5" s="264"/>
      <c r="BW5" s="264"/>
      <c r="BY5" s="264"/>
      <c r="BZ5" s="264"/>
      <c r="CA5" s="264"/>
      <c r="CC5" s="264"/>
      <c r="CD5" s="264"/>
      <c r="CE5" s="264"/>
      <c r="CG5" s="264"/>
      <c r="CH5" s="264"/>
      <c r="CI5" s="264"/>
      <c r="CK5" s="264"/>
      <c r="CL5" s="264"/>
      <c r="CM5" s="264"/>
      <c r="CO5" s="264"/>
      <c r="CP5" s="264"/>
      <c r="CQ5" s="264"/>
      <c r="CS5" s="264"/>
      <c r="CT5" s="264"/>
      <c r="CU5" s="264"/>
      <c r="CW5" s="264"/>
      <c r="CX5" s="264"/>
      <c r="CY5" s="264"/>
      <c r="DA5" s="264"/>
      <c r="DB5" s="264"/>
      <c r="DC5" s="264"/>
      <c r="DE5" s="264"/>
      <c r="DF5" s="264"/>
      <c r="DG5" s="264"/>
      <c r="DI5" s="264"/>
      <c r="DJ5" s="264"/>
      <c r="DK5" s="264"/>
      <c r="DM5" s="264"/>
      <c r="DN5" s="264"/>
      <c r="DO5" s="264"/>
      <c r="DQ5" s="264"/>
      <c r="DR5" s="264"/>
      <c r="DS5" s="264"/>
      <c r="DU5" s="264"/>
      <c r="DV5" s="264"/>
      <c r="DW5" s="264"/>
      <c r="DY5" s="264"/>
      <c r="DZ5" s="264"/>
      <c r="EA5" s="264"/>
      <c r="EC5" s="264"/>
      <c r="ED5" s="264"/>
      <c r="EE5" s="264"/>
      <c r="EG5" s="264"/>
      <c r="EH5" s="264"/>
      <c r="EI5" s="264"/>
      <c r="EK5" s="264"/>
      <c r="EL5" s="264"/>
      <c r="EM5" s="264"/>
      <c r="EO5" s="264"/>
      <c r="EP5" s="264"/>
      <c r="EQ5" s="264"/>
      <c r="ES5" s="264"/>
      <c r="ET5" s="264"/>
      <c r="EU5" s="264"/>
      <c r="EW5" s="264"/>
      <c r="EX5" s="264"/>
      <c r="EY5" s="264"/>
      <c r="FA5" s="264"/>
      <c r="FB5" s="264"/>
      <c r="FC5" s="264"/>
      <c r="FE5" s="264"/>
      <c r="FF5" s="264"/>
      <c r="FG5" s="264"/>
      <c r="FI5" s="264"/>
      <c r="FJ5" s="264"/>
      <c r="FK5" s="264"/>
      <c r="FM5" s="264"/>
      <c r="FN5" s="264"/>
      <c r="FO5" s="264"/>
      <c r="FQ5" s="264"/>
      <c r="FR5" s="264"/>
      <c r="FS5" s="264"/>
      <c r="FU5" s="264"/>
      <c r="FV5" s="264"/>
      <c r="FW5" s="264"/>
      <c r="FY5" s="264"/>
      <c r="FZ5" s="264"/>
      <c r="GA5" s="264"/>
      <c r="GC5" s="264"/>
      <c r="GD5" s="264"/>
      <c r="GE5" s="264"/>
      <c r="GG5" s="264"/>
      <c r="GH5" s="264"/>
      <c r="GI5" s="264"/>
      <c r="GK5" s="264"/>
      <c r="GL5" s="264"/>
      <c r="GM5" s="264"/>
      <c r="GO5" s="264"/>
      <c r="GP5" s="264"/>
      <c r="GQ5" s="264"/>
      <c r="GS5" s="264"/>
      <c r="GT5" s="264"/>
      <c r="GU5" s="264"/>
      <c r="GW5" s="264"/>
      <c r="GX5" s="264"/>
      <c r="GY5" s="264"/>
      <c r="HA5" s="264"/>
      <c r="HB5" s="264"/>
      <c r="HC5" s="264"/>
      <c r="HE5" s="264"/>
      <c r="HF5" s="264"/>
      <c r="HG5" s="264"/>
      <c r="HI5" s="264"/>
      <c r="HJ5" s="264"/>
      <c r="HK5" s="264"/>
      <c r="HM5" s="264"/>
      <c r="HN5" s="264"/>
      <c r="HO5" s="264"/>
      <c r="HQ5" s="264"/>
      <c r="HR5" s="264"/>
      <c r="HS5" s="264"/>
      <c r="HU5" s="264"/>
      <c r="HV5" s="264"/>
      <c r="HW5" s="264"/>
      <c r="HY5" s="264"/>
      <c r="HZ5" s="264"/>
      <c r="IA5" s="264"/>
      <c r="IC5" s="264"/>
      <c r="ID5" s="264"/>
      <c r="IE5" s="264"/>
      <c r="IG5" s="264"/>
      <c r="IH5" s="264"/>
      <c r="II5" s="264"/>
      <c r="IK5" s="264"/>
      <c r="IL5" s="264"/>
      <c r="IM5" s="264"/>
      <c r="IO5" s="264"/>
      <c r="IP5" s="264"/>
      <c r="IQ5" s="264"/>
      <c r="IS5" s="264"/>
      <c r="IT5" s="264"/>
      <c r="IU5" s="264"/>
    </row>
    <row r="6" spans="1:255" ht="12.65" customHeight="1" x14ac:dyDescent="0.3">
      <c r="B6" s="498" t="s">
        <v>662</v>
      </c>
      <c r="C6" s="498"/>
      <c r="D6" s="498"/>
      <c r="E6" s="498"/>
      <c r="F6" s="498"/>
      <c r="G6" s="498"/>
      <c r="H6" s="498"/>
      <c r="I6" s="498"/>
      <c r="J6" s="498"/>
      <c r="K6" s="498"/>
      <c r="L6" s="498"/>
      <c r="M6" s="498"/>
      <c r="N6" s="498"/>
      <c r="O6" s="498"/>
      <c r="P6" s="498"/>
      <c r="Q6" s="498"/>
      <c r="R6" s="265"/>
      <c r="S6" s="264"/>
      <c r="U6" s="264"/>
      <c r="V6" s="264"/>
      <c r="W6" s="264"/>
      <c r="Y6" s="264"/>
      <c r="Z6" s="264"/>
      <c r="AA6" s="264"/>
      <c r="AC6" s="264"/>
      <c r="AD6" s="264"/>
      <c r="AE6" s="264"/>
      <c r="AG6" s="264"/>
      <c r="AH6" s="264"/>
      <c r="AI6" s="264"/>
      <c r="AK6" s="264"/>
      <c r="AL6" s="264"/>
      <c r="AM6" s="264"/>
      <c r="AO6" s="264"/>
      <c r="AP6" s="264"/>
      <c r="AQ6" s="264"/>
      <c r="AS6" s="264"/>
      <c r="AT6" s="264"/>
      <c r="AU6" s="264"/>
      <c r="AW6" s="264"/>
      <c r="AX6" s="264"/>
      <c r="AY6" s="264"/>
      <c r="BA6" s="264"/>
      <c r="BB6" s="264"/>
      <c r="BC6" s="264"/>
      <c r="BE6" s="264"/>
      <c r="BF6" s="264"/>
      <c r="BG6" s="264"/>
      <c r="BI6" s="264"/>
      <c r="BJ6" s="264"/>
      <c r="BK6" s="264"/>
      <c r="BM6" s="264"/>
      <c r="BN6" s="264"/>
      <c r="BO6" s="264"/>
      <c r="BQ6" s="264"/>
      <c r="BR6" s="264"/>
      <c r="BS6" s="264"/>
      <c r="BU6" s="264"/>
      <c r="BV6" s="264"/>
      <c r="BW6" s="264"/>
      <c r="BY6" s="264"/>
      <c r="BZ6" s="264"/>
      <c r="CA6" s="264"/>
      <c r="CC6" s="264"/>
      <c r="CD6" s="264"/>
      <c r="CE6" s="264"/>
      <c r="CG6" s="264"/>
      <c r="CH6" s="264"/>
      <c r="CI6" s="264"/>
      <c r="CK6" s="264"/>
      <c r="CL6" s="264"/>
      <c r="CM6" s="264"/>
      <c r="CO6" s="264"/>
      <c r="CP6" s="264"/>
      <c r="CQ6" s="264"/>
      <c r="CS6" s="264"/>
      <c r="CT6" s="264"/>
      <c r="CU6" s="264"/>
      <c r="CW6" s="264"/>
      <c r="CX6" s="264"/>
      <c r="CY6" s="264"/>
      <c r="DA6" s="264"/>
      <c r="DB6" s="264"/>
      <c r="DC6" s="264"/>
      <c r="DE6" s="264"/>
      <c r="DF6" s="264"/>
      <c r="DG6" s="264"/>
      <c r="DI6" s="264"/>
      <c r="DJ6" s="264"/>
      <c r="DK6" s="264"/>
      <c r="DM6" s="264"/>
      <c r="DN6" s="264"/>
      <c r="DO6" s="264"/>
      <c r="DQ6" s="264"/>
      <c r="DR6" s="264"/>
      <c r="DS6" s="264"/>
      <c r="DU6" s="264"/>
      <c r="DV6" s="264"/>
      <c r="DW6" s="264"/>
      <c r="DY6" s="264"/>
      <c r="DZ6" s="264"/>
      <c r="EA6" s="264"/>
      <c r="EC6" s="264"/>
      <c r="ED6" s="264"/>
      <c r="EE6" s="264"/>
      <c r="EG6" s="264"/>
      <c r="EH6" s="264"/>
      <c r="EI6" s="264"/>
      <c r="EK6" s="264"/>
      <c r="EL6" s="264"/>
      <c r="EM6" s="264"/>
      <c r="EO6" s="264"/>
      <c r="EP6" s="264"/>
      <c r="EQ6" s="264"/>
      <c r="ES6" s="264"/>
      <c r="ET6" s="264"/>
      <c r="EU6" s="264"/>
      <c r="EW6" s="264"/>
      <c r="EX6" s="264"/>
      <c r="EY6" s="264"/>
      <c r="FA6" s="264"/>
      <c r="FB6" s="264"/>
      <c r="FC6" s="264"/>
      <c r="FE6" s="264"/>
      <c r="FF6" s="264"/>
      <c r="FG6" s="264"/>
      <c r="FI6" s="264"/>
      <c r="FJ6" s="264"/>
      <c r="FK6" s="264"/>
      <c r="FM6" s="264"/>
      <c r="FN6" s="264"/>
      <c r="FO6" s="264"/>
      <c r="FQ6" s="264"/>
      <c r="FR6" s="264"/>
      <c r="FS6" s="264"/>
      <c r="FU6" s="264"/>
      <c r="FV6" s="264"/>
      <c r="FW6" s="264"/>
      <c r="FY6" s="264"/>
      <c r="FZ6" s="264"/>
      <c r="GA6" s="264"/>
      <c r="GC6" s="264"/>
      <c r="GD6" s="264"/>
      <c r="GE6" s="264"/>
      <c r="GG6" s="264"/>
      <c r="GH6" s="264"/>
      <c r="GI6" s="264"/>
      <c r="GK6" s="264"/>
      <c r="GL6" s="264"/>
      <c r="GM6" s="264"/>
      <c r="GO6" s="264"/>
      <c r="GP6" s="264"/>
      <c r="GQ6" s="264"/>
      <c r="GS6" s="264"/>
      <c r="GT6" s="264"/>
      <c r="GU6" s="264"/>
      <c r="GW6" s="264"/>
      <c r="GX6" s="264"/>
      <c r="GY6" s="264"/>
      <c r="HA6" s="264"/>
      <c r="HB6" s="264"/>
      <c r="HC6" s="264"/>
      <c r="HE6" s="264"/>
      <c r="HF6" s="264"/>
      <c r="HG6" s="264"/>
      <c r="HI6" s="264"/>
      <c r="HJ6" s="264"/>
      <c r="HK6" s="264"/>
      <c r="HM6" s="264"/>
      <c r="HN6" s="264"/>
      <c r="HO6" s="264"/>
      <c r="HQ6" s="264"/>
      <c r="HR6" s="264"/>
      <c r="HS6" s="264"/>
      <c r="HU6" s="264"/>
      <c r="HV6" s="264"/>
      <c r="HW6" s="264"/>
      <c r="HY6" s="264"/>
      <c r="HZ6" s="264"/>
      <c r="IA6" s="264"/>
      <c r="IC6" s="264"/>
      <c r="ID6" s="264"/>
      <c r="IE6" s="264"/>
      <c r="IG6" s="264"/>
      <c r="IH6" s="264"/>
      <c r="II6" s="264"/>
      <c r="IK6" s="264"/>
      <c r="IL6" s="264"/>
      <c r="IM6" s="264"/>
      <c r="IO6" s="264"/>
      <c r="IP6" s="264"/>
      <c r="IQ6" s="264"/>
      <c r="IS6" s="264"/>
      <c r="IT6" s="264"/>
      <c r="IU6" s="264"/>
    </row>
    <row r="7" spans="1:255" ht="12.65" customHeight="1" x14ac:dyDescent="0.3">
      <c r="B7" s="498"/>
      <c r="C7" s="498"/>
      <c r="D7" s="498"/>
      <c r="E7" s="498"/>
      <c r="F7" s="498"/>
      <c r="G7" s="498"/>
      <c r="H7" s="498"/>
      <c r="I7" s="498"/>
      <c r="J7" s="498"/>
      <c r="K7" s="498"/>
      <c r="L7" s="498"/>
      <c r="M7" s="498"/>
      <c r="N7" s="498"/>
      <c r="O7" s="498"/>
      <c r="P7" s="498"/>
      <c r="Q7" s="498"/>
      <c r="R7" s="265"/>
      <c r="S7" s="264"/>
      <c r="U7" s="264"/>
      <c r="V7" s="264"/>
      <c r="W7" s="264"/>
      <c r="Y7" s="264"/>
      <c r="Z7" s="264"/>
      <c r="AA7" s="264"/>
      <c r="AC7" s="264"/>
      <c r="AD7" s="264"/>
      <c r="AE7" s="264"/>
      <c r="AG7" s="264"/>
      <c r="AH7" s="264"/>
      <c r="AI7" s="264"/>
      <c r="AK7" s="264"/>
      <c r="AL7" s="264"/>
      <c r="AM7" s="264"/>
      <c r="AO7" s="264"/>
      <c r="AP7" s="264"/>
      <c r="AQ7" s="264"/>
      <c r="AS7" s="264"/>
      <c r="AT7" s="264"/>
      <c r="AU7" s="264"/>
      <c r="AW7" s="264"/>
      <c r="AX7" s="264"/>
      <c r="AY7" s="264"/>
      <c r="BA7" s="264"/>
      <c r="BB7" s="264"/>
      <c r="BC7" s="264"/>
      <c r="BE7" s="264"/>
      <c r="BF7" s="264"/>
      <c r="BG7" s="264"/>
      <c r="BI7" s="264"/>
      <c r="BJ7" s="264"/>
      <c r="BK7" s="264"/>
      <c r="BM7" s="264"/>
      <c r="BN7" s="264"/>
      <c r="BO7" s="264"/>
      <c r="BQ7" s="264"/>
      <c r="BR7" s="264"/>
      <c r="BS7" s="264"/>
      <c r="BU7" s="264"/>
      <c r="BV7" s="264"/>
      <c r="BW7" s="264"/>
      <c r="BY7" s="264"/>
      <c r="BZ7" s="264"/>
      <c r="CA7" s="264"/>
      <c r="CC7" s="264"/>
      <c r="CD7" s="264"/>
      <c r="CE7" s="264"/>
      <c r="CG7" s="264"/>
      <c r="CH7" s="264"/>
      <c r="CI7" s="264"/>
      <c r="CK7" s="264"/>
      <c r="CL7" s="264"/>
      <c r="CM7" s="264"/>
      <c r="CO7" s="264"/>
      <c r="CP7" s="264"/>
      <c r="CQ7" s="264"/>
      <c r="CS7" s="264"/>
      <c r="CT7" s="264"/>
      <c r="CU7" s="264"/>
      <c r="CW7" s="264"/>
      <c r="CX7" s="264"/>
      <c r="CY7" s="264"/>
      <c r="DA7" s="264"/>
      <c r="DB7" s="264"/>
      <c r="DC7" s="264"/>
      <c r="DE7" s="264"/>
      <c r="DF7" s="264"/>
      <c r="DG7" s="264"/>
      <c r="DI7" s="264"/>
      <c r="DJ7" s="264"/>
      <c r="DK7" s="264"/>
      <c r="DM7" s="264"/>
      <c r="DN7" s="264"/>
      <c r="DO7" s="264"/>
      <c r="DQ7" s="264"/>
      <c r="DR7" s="264"/>
      <c r="DS7" s="264"/>
      <c r="DU7" s="264"/>
      <c r="DV7" s="264"/>
      <c r="DW7" s="264"/>
      <c r="DY7" s="264"/>
      <c r="DZ7" s="264"/>
      <c r="EA7" s="264"/>
      <c r="EC7" s="264"/>
      <c r="ED7" s="264"/>
      <c r="EE7" s="264"/>
      <c r="EG7" s="264"/>
      <c r="EH7" s="264"/>
      <c r="EI7" s="264"/>
      <c r="EK7" s="264"/>
      <c r="EL7" s="264"/>
      <c r="EM7" s="264"/>
      <c r="EO7" s="264"/>
      <c r="EP7" s="264"/>
      <c r="EQ7" s="264"/>
      <c r="ES7" s="264"/>
      <c r="ET7" s="264"/>
      <c r="EU7" s="264"/>
      <c r="EW7" s="264"/>
      <c r="EX7" s="264"/>
      <c r="EY7" s="264"/>
      <c r="FA7" s="264"/>
      <c r="FB7" s="264"/>
      <c r="FC7" s="264"/>
      <c r="FE7" s="264"/>
      <c r="FF7" s="264"/>
      <c r="FG7" s="264"/>
      <c r="FI7" s="264"/>
      <c r="FJ7" s="264"/>
      <c r="FK7" s="264"/>
      <c r="FM7" s="264"/>
      <c r="FN7" s="264"/>
      <c r="FO7" s="264"/>
      <c r="FQ7" s="264"/>
      <c r="FR7" s="264"/>
      <c r="FS7" s="264"/>
      <c r="FU7" s="264"/>
      <c r="FV7" s="264"/>
      <c r="FW7" s="264"/>
      <c r="FY7" s="264"/>
      <c r="FZ7" s="264"/>
      <c r="GA7" s="264"/>
      <c r="GC7" s="264"/>
      <c r="GD7" s="264"/>
      <c r="GE7" s="264"/>
      <c r="GG7" s="264"/>
      <c r="GH7" s="264"/>
      <c r="GI7" s="264"/>
      <c r="GK7" s="264"/>
      <c r="GL7" s="264"/>
      <c r="GM7" s="264"/>
      <c r="GO7" s="264"/>
      <c r="GP7" s="264"/>
      <c r="GQ7" s="264"/>
      <c r="GS7" s="264"/>
      <c r="GT7" s="264"/>
      <c r="GU7" s="264"/>
      <c r="GW7" s="264"/>
      <c r="GX7" s="264"/>
      <c r="GY7" s="264"/>
      <c r="HA7" s="264"/>
      <c r="HB7" s="264"/>
      <c r="HC7" s="264"/>
      <c r="HE7" s="264"/>
      <c r="HF7" s="264"/>
      <c r="HG7" s="264"/>
      <c r="HI7" s="264"/>
      <c r="HJ7" s="264"/>
      <c r="HK7" s="264"/>
      <c r="HM7" s="264"/>
      <c r="HN7" s="264"/>
      <c r="HO7" s="264"/>
      <c r="HQ7" s="264"/>
      <c r="HR7" s="264"/>
      <c r="HS7" s="264"/>
      <c r="HU7" s="264"/>
      <c r="HV7" s="264"/>
      <c r="HW7" s="264"/>
      <c r="HY7" s="264"/>
      <c r="HZ7" s="264"/>
      <c r="IA7" s="264"/>
      <c r="IC7" s="264"/>
      <c r="ID7" s="264"/>
      <c r="IE7" s="264"/>
      <c r="IG7" s="264"/>
      <c r="IH7" s="264"/>
      <c r="II7" s="264"/>
      <c r="IK7" s="264"/>
      <c r="IL7" s="264"/>
      <c r="IM7" s="264"/>
      <c r="IO7" s="264"/>
      <c r="IP7" s="264"/>
      <c r="IQ7" s="264"/>
      <c r="IS7" s="264"/>
      <c r="IT7" s="264"/>
      <c r="IU7" s="264"/>
    </row>
    <row r="9" spans="1:255" ht="12.75" customHeight="1" x14ac:dyDescent="0.3">
      <c r="B9" s="266" t="s">
        <v>694</v>
      </c>
      <c r="C9" s="266"/>
      <c r="D9" s="267"/>
      <c r="E9" s="267"/>
      <c r="F9" s="267"/>
      <c r="G9" s="267"/>
      <c r="H9" s="267"/>
      <c r="J9" s="268" t="s">
        <v>708</v>
      </c>
      <c r="N9" s="269"/>
      <c r="O9" s="269"/>
      <c r="P9" s="269"/>
    </row>
    <row r="10" spans="1:255" ht="15" customHeight="1" x14ac:dyDescent="0.3">
      <c r="B10" s="270"/>
      <c r="C10" s="270"/>
      <c r="D10" s="270"/>
      <c r="E10" s="270"/>
      <c r="F10" s="270"/>
      <c r="G10" s="270"/>
      <c r="H10" s="270"/>
      <c r="J10" s="271" t="s">
        <v>157</v>
      </c>
      <c r="K10" s="271"/>
      <c r="L10" s="271" t="s">
        <v>698</v>
      </c>
      <c r="M10" s="268"/>
      <c r="N10" s="271" t="s">
        <v>705</v>
      </c>
      <c r="O10" s="271"/>
      <c r="P10" s="271" t="s">
        <v>703</v>
      </c>
      <c r="Q10" s="271"/>
    </row>
    <row r="11" spans="1:255" ht="15" customHeight="1" x14ac:dyDescent="0.3">
      <c r="B11" s="271" t="s">
        <v>201</v>
      </c>
      <c r="C11" s="272" t="s">
        <v>203</v>
      </c>
      <c r="F11" s="273"/>
      <c r="G11" s="273"/>
      <c r="H11" s="274">
        <v>25</v>
      </c>
      <c r="J11" s="270" t="s">
        <v>205</v>
      </c>
      <c r="K11" s="270"/>
      <c r="L11" s="270" t="s">
        <v>707</v>
      </c>
      <c r="N11" s="263" t="s">
        <v>702</v>
      </c>
      <c r="P11" s="263" t="s">
        <v>160</v>
      </c>
    </row>
    <row r="12" spans="1:255" ht="15" customHeight="1" x14ac:dyDescent="0.3">
      <c r="B12" s="272"/>
      <c r="C12" s="272"/>
      <c r="E12" s="270"/>
      <c r="F12" s="275"/>
      <c r="G12" s="275"/>
      <c r="H12" s="270"/>
      <c r="J12" s="270" t="s">
        <v>205</v>
      </c>
      <c r="K12" s="270"/>
      <c r="L12" s="270" t="s">
        <v>707</v>
      </c>
      <c r="N12" s="263" t="s">
        <v>1039</v>
      </c>
      <c r="P12" s="263" t="s">
        <v>159</v>
      </c>
    </row>
    <row r="13" spans="1:255" ht="15" customHeight="1" x14ac:dyDescent="0.3">
      <c r="B13" s="271" t="s">
        <v>202</v>
      </c>
      <c r="C13" s="272" t="s">
        <v>204</v>
      </c>
      <c r="E13" s="276"/>
      <c r="F13" s="270"/>
      <c r="G13" s="270"/>
      <c r="H13" s="274">
        <v>2200</v>
      </c>
      <c r="J13" s="270" t="s">
        <v>205</v>
      </c>
      <c r="K13" s="270"/>
      <c r="L13" s="270" t="s">
        <v>707</v>
      </c>
      <c r="N13" s="263" t="s">
        <v>704</v>
      </c>
      <c r="P13" s="263" t="s">
        <v>158</v>
      </c>
    </row>
    <row r="14" spans="1:255" ht="15" customHeight="1" x14ac:dyDescent="0.3">
      <c r="B14" s="272"/>
      <c r="C14" s="272"/>
      <c r="E14" s="270"/>
      <c r="F14" s="277"/>
      <c r="G14" s="277"/>
      <c r="H14" s="270"/>
      <c r="J14" s="270" t="s">
        <v>205</v>
      </c>
      <c r="K14" s="270"/>
      <c r="L14" s="270" t="s">
        <v>697</v>
      </c>
      <c r="N14" s="263" t="s">
        <v>1040</v>
      </c>
      <c r="P14" s="263" t="s">
        <v>178</v>
      </c>
    </row>
    <row r="15" spans="1:255" ht="15" customHeight="1" x14ac:dyDescent="0.3">
      <c r="B15" s="271" t="s">
        <v>693</v>
      </c>
      <c r="C15" s="272" t="s">
        <v>695</v>
      </c>
      <c r="E15" s="270"/>
      <c r="F15" s="277"/>
      <c r="G15" s="277"/>
      <c r="H15" s="274">
        <v>1500</v>
      </c>
      <c r="J15" s="270" t="s">
        <v>205</v>
      </c>
      <c r="K15" s="270"/>
      <c r="L15" s="270" t="s">
        <v>697</v>
      </c>
      <c r="N15" s="263" t="s">
        <v>704</v>
      </c>
      <c r="P15" s="263" t="s">
        <v>177</v>
      </c>
    </row>
    <row r="16" spans="1:255" ht="15" customHeight="1" x14ac:dyDescent="0.3">
      <c r="B16" s="272"/>
      <c r="C16" s="272"/>
      <c r="E16" s="270"/>
      <c r="F16" s="277"/>
      <c r="G16" s="277"/>
      <c r="H16" s="270"/>
      <c r="J16" s="270" t="s">
        <v>1036</v>
      </c>
      <c r="K16" s="270"/>
      <c r="L16" s="270" t="s">
        <v>707</v>
      </c>
      <c r="N16" s="263" t="s">
        <v>1041</v>
      </c>
      <c r="P16" s="263" t="s">
        <v>180</v>
      </c>
    </row>
    <row r="17" spans="2:16" ht="15" customHeight="1" x14ac:dyDescent="0.3">
      <c r="B17" s="271" t="s">
        <v>696</v>
      </c>
      <c r="C17" s="272" t="s">
        <v>701</v>
      </c>
      <c r="E17" s="270"/>
      <c r="F17" s="277"/>
      <c r="G17" s="277"/>
      <c r="H17" s="274">
        <v>900</v>
      </c>
      <c r="J17" s="270" t="s">
        <v>1036</v>
      </c>
      <c r="K17" s="270"/>
      <c r="L17" s="270" t="s">
        <v>707</v>
      </c>
      <c r="N17" s="263" t="s">
        <v>706</v>
      </c>
      <c r="P17" s="263" t="s">
        <v>179</v>
      </c>
    </row>
    <row r="18" spans="2:16" ht="15" customHeight="1" x14ac:dyDescent="0.3">
      <c r="B18" s="272"/>
      <c r="C18" s="272"/>
      <c r="D18" s="270"/>
      <c r="E18" s="270"/>
      <c r="F18" s="277"/>
      <c r="G18" s="277"/>
      <c r="H18" s="270"/>
      <c r="J18" s="270" t="s">
        <v>1036</v>
      </c>
      <c r="K18" s="270"/>
      <c r="L18" s="270" t="s">
        <v>697</v>
      </c>
      <c r="N18" s="263" t="s">
        <v>1041</v>
      </c>
      <c r="P18" s="263" t="s">
        <v>709</v>
      </c>
    </row>
    <row r="19" spans="2:16" ht="15" customHeight="1" x14ac:dyDescent="0.3">
      <c r="J19" s="270" t="s">
        <v>1036</v>
      </c>
      <c r="K19" s="270"/>
      <c r="L19" s="270" t="s">
        <v>697</v>
      </c>
      <c r="N19" s="263" t="s">
        <v>706</v>
      </c>
      <c r="P19" s="263" t="s">
        <v>710</v>
      </c>
    </row>
    <row r="20" spans="2:16" ht="15" customHeight="1" x14ac:dyDescent="0.3">
      <c r="J20" s="270" t="s">
        <v>1037</v>
      </c>
      <c r="K20" s="270"/>
      <c r="L20" s="270" t="s">
        <v>707</v>
      </c>
      <c r="N20" s="263" t="s">
        <v>1041</v>
      </c>
      <c r="P20" s="263" t="s">
        <v>182</v>
      </c>
    </row>
    <row r="21" spans="2:16" ht="15" customHeight="1" x14ac:dyDescent="0.3">
      <c r="J21" s="270" t="s">
        <v>1037</v>
      </c>
      <c r="K21" s="270"/>
      <c r="L21" s="270" t="s">
        <v>707</v>
      </c>
      <c r="N21" s="263" t="s">
        <v>706</v>
      </c>
      <c r="P21" s="263" t="s">
        <v>181</v>
      </c>
    </row>
    <row r="22" spans="2:16" ht="15" customHeight="1" x14ac:dyDescent="0.3">
      <c r="J22" s="270" t="s">
        <v>1037</v>
      </c>
      <c r="K22" s="270"/>
      <c r="L22" s="270" t="s">
        <v>697</v>
      </c>
      <c r="N22" s="263" t="s">
        <v>1041</v>
      </c>
      <c r="P22" s="263" t="s">
        <v>711</v>
      </c>
    </row>
    <row r="23" spans="2:16" ht="15" customHeight="1" x14ac:dyDescent="0.3">
      <c r="J23" s="270" t="s">
        <v>1037</v>
      </c>
      <c r="K23" s="270"/>
      <c r="L23" s="270" t="s">
        <v>697</v>
      </c>
      <c r="N23" s="263" t="s">
        <v>706</v>
      </c>
      <c r="P23" s="263" t="s">
        <v>712</v>
      </c>
    </row>
    <row r="24" spans="2:16" ht="15" customHeight="1" x14ac:dyDescent="0.3">
      <c r="J24" s="270" t="str">
        <f>"-10 &lt; MAT ≤ 0"</f>
        <v>-10 &lt; MAT ≤ 0</v>
      </c>
      <c r="K24" s="270"/>
      <c r="L24" s="270" t="s">
        <v>707</v>
      </c>
      <c r="N24" s="263" t="s">
        <v>1041</v>
      </c>
      <c r="P24" s="263" t="s">
        <v>183</v>
      </c>
    </row>
    <row r="25" spans="2:16" ht="15" customHeight="1" x14ac:dyDescent="0.3">
      <c r="J25" s="270" t="str">
        <f t="shared" ref="J25:J27" si="0">"-10 &lt; MAT ≤ 0"</f>
        <v>-10 &lt; MAT ≤ 0</v>
      </c>
      <c r="K25" s="270"/>
      <c r="L25" s="270" t="s">
        <v>707</v>
      </c>
      <c r="N25" s="263" t="s">
        <v>706</v>
      </c>
      <c r="P25" s="263" t="s">
        <v>184</v>
      </c>
    </row>
    <row r="26" spans="2:16" ht="15" customHeight="1" x14ac:dyDescent="0.3">
      <c r="J26" s="270" t="str">
        <f t="shared" si="0"/>
        <v>-10 &lt; MAT ≤ 0</v>
      </c>
      <c r="K26" s="270"/>
      <c r="L26" s="270" t="s">
        <v>697</v>
      </c>
      <c r="N26" s="263" t="s">
        <v>1041</v>
      </c>
      <c r="P26" s="263" t="s">
        <v>713</v>
      </c>
    </row>
    <row r="27" spans="2:16" ht="15" customHeight="1" x14ac:dyDescent="0.3">
      <c r="J27" s="270" t="str">
        <f t="shared" si="0"/>
        <v>-10 &lt; MAT ≤ 0</v>
      </c>
      <c r="K27" s="270"/>
      <c r="L27" s="270" t="s">
        <v>697</v>
      </c>
      <c r="N27" s="263" t="s">
        <v>706</v>
      </c>
      <c r="P27" s="263" t="s">
        <v>714</v>
      </c>
    </row>
    <row r="28" spans="2:16" ht="15" customHeight="1" x14ac:dyDescent="0.3">
      <c r="J28" s="135" t="s">
        <v>1038</v>
      </c>
      <c r="K28" s="135"/>
      <c r="L28" s="270" t="s">
        <v>707</v>
      </c>
      <c r="N28" s="263" t="s">
        <v>1041</v>
      </c>
      <c r="P28" s="263" t="s">
        <v>715</v>
      </c>
    </row>
    <row r="29" spans="2:16" ht="15" customHeight="1" x14ac:dyDescent="0.3">
      <c r="J29" s="135" t="s">
        <v>1038</v>
      </c>
      <c r="K29" s="135"/>
      <c r="L29" s="270" t="s">
        <v>707</v>
      </c>
      <c r="N29" s="263" t="s">
        <v>706</v>
      </c>
      <c r="P29" s="263" t="s">
        <v>716</v>
      </c>
    </row>
    <row r="30" spans="2:16" ht="15" customHeight="1" x14ac:dyDescent="0.3">
      <c r="J30" s="135" t="s">
        <v>1038</v>
      </c>
      <c r="L30" s="270" t="s">
        <v>697</v>
      </c>
      <c r="N30" s="263" t="s">
        <v>1041</v>
      </c>
      <c r="P30" s="263" t="s">
        <v>717</v>
      </c>
    </row>
    <row r="31" spans="2:16" ht="15.65" customHeight="1" x14ac:dyDescent="0.3">
      <c r="J31" s="135" t="s">
        <v>1038</v>
      </c>
      <c r="L31" s="270" t="s">
        <v>697</v>
      </c>
      <c r="N31" s="263" t="s">
        <v>706</v>
      </c>
      <c r="P31" s="263" t="s">
        <v>718</v>
      </c>
    </row>
    <row r="32" spans="2:16" ht="15.65" customHeight="1" x14ac:dyDescent="0.3"/>
    <row r="33" spans="2:255" ht="15.65" customHeight="1" x14ac:dyDescent="0.3">
      <c r="J33" s="268" t="s">
        <v>157</v>
      </c>
      <c r="L33" s="263" t="str">
        <f>IFERROR(IF(AND(H11&gt;18,H17&gt;1000),"Tropical Mountain",IF(H11&gt;18,"Tropical",IF(AND(H11&lt;=18,H11&gt;10,H17&gt;1000),"Warm Temperate Mountain",IF(AND(H11&lt;=18,H11&gt;10),"Warm Temperate",IF(AND(H11&lt;=10,H11&gt;0,H17&gt;1000),"Cool Temperate Mountain",IF(AND(H11&lt;=10,H11&gt;0),"Cool Temperate",IF(AND(H11&lt;=0,H11&gt;-10,H17&gt;1000),"Boreal Mountain",IF(AND(H11&lt;=0,H11&gt;-10),"Boreal",IF(AND(H11&lt;=-10,H17&gt;1000),"Polar",IF(H11&lt;=-10,"Polar",0)))))))))),0)</f>
        <v>Tropical</v>
      </c>
    </row>
    <row r="34" spans="2:255" ht="15.65" customHeight="1" x14ac:dyDescent="0.3">
      <c r="B34" s="278" t="s">
        <v>721</v>
      </c>
      <c r="J34" s="268" t="s">
        <v>185</v>
      </c>
      <c r="L34" s="263" t="str">
        <f>IFERROR(IF(L33="Tropical Mountain",IF(H13&gt;1000,"Moist","Dry"),IF(L33="Tropical",IF(H13&gt;=2000,"Wet",IF(AND(H13&lt;2000,H13&gt;=1000),"Moist","Dry")),IF(L33="Warm Temperate Mountain",IF(H13&gt;=H15,"Moist","Dry"),IF(L33="Warm Temperate",IF(H13&gt;=H15,"Moist","Dry"),IF(L33="Cool Temperate Mountain",IF(H13&gt;=H15,"Moist","Dry"),IF(L33="Cool Temperate",IF(H13&gt;=H15,"Moist","Dry"),IF(L33="Boreal Mountain",IF(H13&gt;=H15,"Moist","Dry"),IF(L33="Boreal",IF(H13&gt;=H15,"Moist","Dry"),IF(L33="Polar Mountain",IF(H13&gt;=H15,"Moist","Dry"),IF(L33="Polar",IF(H13&gt;=H15,"Moist","Dry"))))))))))),"Please specify")</f>
        <v>Wet</v>
      </c>
    </row>
    <row r="35" spans="2:255" ht="15.65" customHeight="1" x14ac:dyDescent="0.3"/>
    <row r="36" spans="2:255" ht="12.65" customHeight="1" x14ac:dyDescent="0.3">
      <c r="B36" s="498" t="s">
        <v>719</v>
      </c>
      <c r="C36" s="498"/>
      <c r="D36" s="498"/>
      <c r="E36" s="498"/>
      <c r="F36" s="498"/>
      <c r="G36" s="498"/>
      <c r="H36" s="498"/>
      <c r="I36" s="498"/>
      <c r="J36" s="498"/>
      <c r="K36" s="498"/>
      <c r="L36" s="498"/>
      <c r="M36" s="498"/>
      <c r="N36" s="498"/>
      <c r="O36" s="498"/>
      <c r="P36" s="498"/>
      <c r="Q36" s="498"/>
      <c r="R36" s="265"/>
      <c r="S36" s="264"/>
      <c r="U36" s="264"/>
      <c r="V36" s="264"/>
      <c r="W36" s="264"/>
      <c r="Y36" s="264"/>
      <c r="Z36" s="264"/>
      <c r="AA36" s="264"/>
      <c r="AC36" s="264"/>
      <c r="AD36" s="264"/>
      <c r="AE36" s="264"/>
      <c r="AG36" s="264"/>
      <c r="AH36" s="264"/>
      <c r="AI36" s="264"/>
      <c r="AK36" s="264"/>
      <c r="AL36" s="264"/>
      <c r="AM36" s="264"/>
      <c r="AO36" s="264"/>
      <c r="AP36" s="264"/>
      <c r="AQ36" s="264"/>
      <c r="AS36" s="264"/>
      <c r="AT36" s="264"/>
      <c r="AU36" s="264"/>
      <c r="AW36" s="264"/>
      <c r="AX36" s="264"/>
      <c r="AY36" s="264"/>
      <c r="BA36" s="264"/>
      <c r="BB36" s="264"/>
      <c r="BC36" s="264"/>
      <c r="BE36" s="264"/>
      <c r="BF36" s="264"/>
      <c r="BG36" s="264"/>
      <c r="BI36" s="264"/>
      <c r="BJ36" s="264"/>
      <c r="BK36" s="264"/>
      <c r="BM36" s="264"/>
      <c r="BN36" s="264"/>
      <c r="BO36" s="264"/>
      <c r="BQ36" s="264"/>
      <c r="BR36" s="264"/>
      <c r="BS36" s="264"/>
      <c r="BU36" s="264"/>
      <c r="BV36" s="264"/>
      <c r="BW36" s="264"/>
      <c r="BY36" s="264"/>
      <c r="BZ36" s="264"/>
      <c r="CA36" s="264"/>
      <c r="CC36" s="264"/>
      <c r="CD36" s="264"/>
      <c r="CE36" s="264"/>
      <c r="CG36" s="264"/>
      <c r="CH36" s="264"/>
      <c r="CI36" s="264"/>
      <c r="CK36" s="264"/>
      <c r="CL36" s="264"/>
      <c r="CM36" s="264"/>
      <c r="CO36" s="264"/>
      <c r="CP36" s="264"/>
      <c r="CQ36" s="264"/>
      <c r="CS36" s="264"/>
      <c r="CT36" s="264"/>
      <c r="CU36" s="264"/>
      <c r="CW36" s="264"/>
      <c r="CX36" s="264"/>
      <c r="CY36" s="264"/>
      <c r="DA36" s="264"/>
      <c r="DB36" s="264"/>
      <c r="DC36" s="264"/>
      <c r="DE36" s="264"/>
      <c r="DF36" s="264"/>
      <c r="DG36" s="264"/>
      <c r="DI36" s="264"/>
      <c r="DJ36" s="264"/>
      <c r="DK36" s="264"/>
      <c r="DM36" s="264"/>
      <c r="DN36" s="264"/>
      <c r="DO36" s="264"/>
      <c r="DQ36" s="264"/>
      <c r="DR36" s="264"/>
      <c r="DS36" s="264"/>
      <c r="DU36" s="264"/>
      <c r="DV36" s="264"/>
      <c r="DW36" s="264"/>
      <c r="DY36" s="264"/>
      <c r="DZ36" s="264"/>
      <c r="EA36" s="264"/>
      <c r="EC36" s="264"/>
      <c r="ED36" s="264"/>
      <c r="EE36" s="264"/>
      <c r="EG36" s="264"/>
      <c r="EH36" s="264"/>
      <c r="EI36" s="264"/>
      <c r="EK36" s="264"/>
      <c r="EL36" s="264"/>
      <c r="EM36" s="264"/>
      <c r="EO36" s="264"/>
      <c r="EP36" s="264"/>
      <c r="EQ36" s="264"/>
      <c r="ES36" s="264"/>
      <c r="ET36" s="264"/>
      <c r="EU36" s="264"/>
      <c r="EW36" s="264"/>
      <c r="EX36" s="264"/>
      <c r="EY36" s="264"/>
      <c r="FA36" s="264"/>
      <c r="FB36" s="264"/>
      <c r="FC36" s="264"/>
      <c r="FE36" s="264"/>
      <c r="FF36" s="264"/>
      <c r="FG36" s="264"/>
      <c r="FI36" s="264"/>
      <c r="FJ36" s="264"/>
      <c r="FK36" s="264"/>
      <c r="FM36" s="264"/>
      <c r="FN36" s="264"/>
      <c r="FO36" s="264"/>
      <c r="FQ36" s="264"/>
      <c r="FR36" s="264"/>
      <c r="FS36" s="264"/>
      <c r="FU36" s="264"/>
      <c r="FV36" s="264"/>
      <c r="FW36" s="264"/>
      <c r="FY36" s="264"/>
      <c r="FZ36" s="264"/>
      <c r="GA36" s="264"/>
      <c r="GC36" s="264"/>
      <c r="GD36" s="264"/>
      <c r="GE36" s="264"/>
      <c r="GG36" s="264"/>
      <c r="GH36" s="264"/>
      <c r="GI36" s="264"/>
      <c r="GK36" s="264"/>
      <c r="GL36" s="264"/>
      <c r="GM36" s="264"/>
      <c r="GO36" s="264"/>
      <c r="GP36" s="264"/>
      <c r="GQ36" s="264"/>
      <c r="GS36" s="264"/>
      <c r="GT36" s="264"/>
      <c r="GU36" s="264"/>
      <c r="GW36" s="264"/>
      <c r="GX36" s="264"/>
      <c r="GY36" s="264"/>
      <c r="HA36" s="264"/>
      <c r="HB36" s="264"/>
      <c r="HC36" s="264"/>
      <c r="HE36" s="264"/>
      <c r="HF36" s="264"/>
      <c r="HG36" s="264"/>
      <c r="HI36" s="264"/>
      <c r="HJ36" s="264"/>
      <c r="HK36" s="264"/>
      <c r="HM36" s="264"/>
      <c r="HN36" s="264"/>
      <c r="HO36" s="264"/>
      <c r="HQ36" s="264"/>
      <c r="HR36" s="264"/>
      <c r="HS36" s="264"/>
      <c r="HU36" s="264"/>
      <c r="HV36" s="264"/>
      <c r="HW36" s="264"/>
      <c r="HY36" s="264"/>
      <c r="HZ36" s="264"/>
      <c r="IA36" s="264"/>
      <c r="IC36" s="264"/>
      <c r="ID36" s="264"/>
      <c r="IE36" s="264"/>
      <c r="IG36" s="264"/>
      <c r="IH36" s="264"/>
      <c r="II36" s="264"/>
      <c r="IK36" s="264"/>
      <c r="IL36" s="264"/>
      <c r="IM36" s="264"/>
      <c r="IO36" s="264"/>
      <c r="IP36" s="264"/>
      <c r="IQ36" s="264"/>
      <c r="IS36" s="264"/>
      <c r="IT36" s="264"/>
      <c r="IU36" s="264"/>
    </row>
    <row r="37" spans="2:255" ht="12.65" customHeight="1" x14ac:dyDescent="0.3">
      <c r="B37" s="498"/>
      <c r="C37" s="498"/>
      <c r="D37" s="498"/>
      <c r="E37" s="498"/>
      <c r="F37" s="498"/>
      <c r="G37" s="498"/>
      <c r="H37" s="498"/>
      <c r="I37" s="498"/>
      <c r="J37" s="498"/>
      <c r="K37" s="498"/>
      <c r="L37" s="498"/>
      <c r="M37" s="498"/>
      <c r="N37" s="498"/>
      <c r="O37" s="498"/>
      <c r="P37" s="498"/>
      <c r="Q37" s="498"/>
      <c r="R37" s="265"/>
      <c r="S37" s="264"/>
      <c r="U37" s="264"/>
      <c r="V37" s="264"/>
      <c r="W37" s="264"/>
      <c r="Y37" s="264"/>
      <c r="Z37" s="264"/>
      <c r="AA37" s="264"/>
      <c r="AC37" s="264"/>
      <c r="AD37" s="264"/>
      <c r="AE37" s="264"/>
      <c r="AG37" s="264"/>
      <c r="AH37" s="264"/>
      <c r="AI37" s="264"/>
      <c r="AK37" s="264"/>
      <c r="AL37" s="264"/>
      <c r="AM37" s="264"/>
      <c r="AO37" s="264"/>
      <c r="AP37" s="264"/>
      <c r="AQ37" s="264"/>
      <c r="AS37" s="264"/>
      <c r="AT37" s="264"/>
      <c r="AU37" s="264"/>
      <c r="AW37" s="264"/>
      <c r="AX37" s="264"/>
      <c r="AY37" s="264"/>
      <c r="BA37" s="264"/>
      <c r="BB37" s="264"/>
      <c r="BC37" s="264"/>
      <c r="BE37" s="264"/>
      <c r="BF37" s="264"/>
      <c r="BG37" s="264"/>
      <c r="BI37" s="264"/>
      <c r="BJ37" s="264"/>
      <c r="BK37" s="264"/>
      <c r="BM37" s="264"/>
      <c r="BN37" s="264"/>
      <c r="BO37" s="264"/>
      <c r="BQ37" s="264"/>
      <c r="BR37" s="264"/>
      <c r="BS37" s="264"/>
      <c r="BU37" s="264"/>
      <c r="BV37" s="264"/>
      <c r="BW37" s="264"/>
      <c r="BY37" s="264"/>
      <c r="BZ37" s="264"/>
      <c r="CA37" s="264"/>
      <c r="CC37" s="264"/>
      <c r="CD37" s="264"/>
      <c r="CE37" s="264"/>
      <c r="CG37" s="264"/>
      <c r="CH37" s="264"/>
      <c r="CI37" s="264"/>
      <c r="CK37" s="264"/>
      <c r="CL37" s="264"/>
      <c r="CM37" s="264"/>
      <c r="CO37" s="264"/>
      <c r="CP37" s="264"/>
      <c r="CQ37" s="264"/>
      <c r="CS37" s="264"/>
      <c r="CT37" s="264"/>
      <c r="CU37" s="264"/>
      <c r="CW37" s="264"/>
      <c r="CX37" s="264"/>
      <c r="CY37" s="264"/>
      <c r="DA37" s="264"/>
      <c r="DB37" s="264"/>
      <c r="DC37" s="264"/>
      <c r="DE37" s="264"/>
      <c r="DF37" s="264"/>
      <c r="DG37" s="264"/>
      <c r="DI37" s="264"/>
      <c r="DJ37" s="264"/>
      <c r="DK37" s="264"/>
      <c r="DM37" s="264"/>
      <c r="DN37" s="264"/>
      <c r="DO37" s="264"/>
      <c r="DQ37" s="264"/>
      <c r="DR37" s="264"/>
      <c r="DS37" s="264"/>
      <c r="DU37" s="264"/>
      <c r="DV37" s="264"/>
      <c r="DW37" s="264"/>
      <c r="DY37" s="264"/>
      <c r="DZ37" s="264"/>
      <c r="EA37" s="264"/>
      <c r="EC37" s="264"/>
      <c r="ED37" s="264"/>
      <c r="EE37" s="264"/>
      <c r="EG37" s="264"/>
      <c r="EH37" s="264"/>
      <c r="EI37" s="264"/>
      <c r="EK37" s="264"/>
      <c r="EL37" s="264"/>
      <c r="EM37" s="264"/>
      <c r="EO37" s="264"/>
      <c r="EP37" s="264"/>
      <c r="EQ37" s="264"/>
      <c r="ES37" s="264"/>
      <c r="ET37" s="264"/>
      <c r="EU37" s="264"/>
      <c r="EW37" s="264"/>
      <c r="EX37" s="264"/>
      <c r="EY37" s="264"/>
      <c r="FA37" s="264"/>
      <c r="FB37" s="264"/>
      <c r="FC37" s="264"/>
      <c r="FE37" s="264"/>
      <c r="FF37" s="264"/>
      <c r="FG37" s="264"/>
      <c r="FI37" s="264"/>
      <c r="FJ37" s="264"/>
      <c r="FK37" s="264"/>
      <c r="FM37" s="264"/>
      <c r="FN37" s="264"/>
      <c r="FO37" s="264"/>
      <c r="FQ37" s="264"/>
      <c r="FR37" s="264"/>
      <c r="FS37" s="264"/>
      <c r="FU37" s="264"/>
      <c r="FV37" s="264"/>
      <c r="FW37" s="264"/>
      <c r="FY37" s="264"/>
      <c r="FZ37" s="264"/>
      <c r="GA37" s="264"/>
      <c r="GC37" s="264"/>
      <c r="GD37" s="264"/>
      <c r="GE37" s="264"/>
      <c r="GG37" s="264"/>
      <c r="GH37" s="264"/>
      <c r="GI37" s="264"/>
      <c r="GK37" s="264"/>
      <c r="GL37" s="264"/>
      <c r="GM37" s="264"/>
      <c r="GO37" s="264"/>
      <c r="GP37" s="264"/>
      <c r="GQ37" s="264"/>
      <c r="GS37" s="264"/>
      <c r="GT37" s="264"/>
      <c r="GU37" s="264"/>
      <c r="GW37" s="264"/>
      <c r="GX37" s="264"/>
      <c r="GY37" s="264"/>
      <c r="HA37" s="264"/>
      <c r="HB37" s="264"/>
      <c r="HC37" s="264"/>
      <c r="HE37" s="264"/>
      <c r="HF37" s="264"/>
      <c r="HG37" s="264"/>
      <c r="HI37" s="264"/>
      <c r="HJ37" s="264"/>
      <c r="HK37" s="264"/>
      <c r="HM37" s="264"/>
      <c r="HN37" s="264"/>
      <c r="HO37" s="264"/>
      <c r="HQ37" s="264"/>
      <c r="HR37" s="264"/>
      <c r="HS37" s="264"/>
      <c r="HU37" s="264"/>
      <c r="HV37" s="264"/>
      <c r="HW37" s="264"/>
      <c r="HY37" s="264"/>
      <c r="HZ37" s="264"/>
      <c r="IA37" s="264"/>
      <c r="IC37" s="264"/>
      <c r="ID37" s="264"/>
      <c r="IE37" s="264"/>
      <c r="IG37" s="264"/>
      <c r="IH37" s="264"/>
      <c r="II37" s="264"/>
      <c r="IK37" s="264"/>
      <c r="IL37" s="264"/>
      <c r="IM37" s="264"/>
      <c r="IO37" s="264"/>
      <c r="IP37" s="264"/>
      <c r="IQ37" s="264"/>
      <c r="IS37" s="264"/>
      <c r="IT37" s="264"/>
      <c r="IU37" s="264"/>
    </row>
    <row r="38" spans="2:255" ht="15.65" customHeight="1" x14ac:dyDescent="0.3"/>
    <row r="39" spans="2:255" ht="15.65" customHeight="1" x14ac:dyDescent="0.3">
      <c r="B39" s="279"/>
      <c r="C39" s="279"/>
      <c r="D39" s="279"/>
      <c r="E39" s="279"/>
      <c r="F39" s="279"/>
      <c r="G39" s="279"/>
      <c r="H39" s="279"/>
      <c r="I39" s="279"/>
      <c r="J39" s="279"/>
      <c r="K39" s="279"/>
      <c r="L39" s="279"/>
      <c r="M39" s="279"/>
      <c r="N39" s="279"/>
    </row>
    <row r="40" spans="2:255" ht="15.65" customHeight="1" x14ac:dyDescent="0.3"/>
    <row r="41" spans="2:255" ht="15.65" customHeight="1" x14ac:dyDescent="0.3"/>
    <row r="42" spans="2:255" ht="15.65" customHeight="1" x14ac:dyDescent="0.3"/>
    <row r="43" spans="2:255" ht="15.65" customHeight="1" x14ac:dyDescent="0.3"/>
    <row r="44" spans="2:255" ht="15" customHeight="1" x14ac:dyDescent="0.3"/>
    <row r="45" spans="2:255" ht="15" customHeight="1" x14ac:dyDescent="0.3"/>
    <row r="46" spans="2:255" ht="15" customHeight="1" x14ac:dyDescent="0.3"/>
    <row r="47" spans="2:255" ht="15" customHeight="1" x14ac:dyDescent="0.3"/>
    <row r="48" spans="2:255" ht="15" customHeight="1" x14ac:dyDescent="0.3"/>
    <row r="49" ht="15" customHeight="1" x14ac:dyDescent="0.3"/>
    <row r="50" ht="15" customHeight="1" x14ac:dyDescent="0.3"/>
    <row r="51" ht="15" customHeight="1" x14ac:dyDescent="0.3"/>
    <row r="52" ht="15" customHeight="1" x14ac:dyDescent="0.3"/>
    <row r="63" ht="15.65" customHeight="1" x14ac:dyDescent="0.3"/>
    <row r="65" spans="2:2" ht="16.149999999999999" customHeight="1" x14ac:dyDescent="0.3"/>
    <row r="67" spans="2:2" ht="16.149999999999999" customHeight="1" x14ac:dyDescent="0.3"/>
    <row r="69" spans="2:2" ht="15" customHeight="1" x14ac:dyDescent="0.3">
      <c r="B69" s="263" t="s">
        <v>720</v>
      </c>
    </row>
    <row r="71" spans="2:2" ht="12.65" customHeight="1" x14ac:dyDescent="0.3"/>
    <row r="120" spans="1:5" ht="12.75" customHeight="1" x14ac:dyDescent="0.35">
      <c r="A120" s="280"/>
    </row>
    <row r="121" spans="1:5" ht="12.75" customHeight="1" x14ac:dyDescent="0.3">
      <c r="A121" s="281"/>
      <c r="E121" s="281"/>
    </row>
    <row r="122" spans="1:5" ht="12.75" customHeight="1" x14ac:dyDescent="0.3">
      <c r="A122" s="281"/>
      <c r="E122" s="281"/>
    </row>
    <row r="123" spans="1:5" ht="12.75" customHeight="1" x14ac:dyDescent="0.3">
      <c r="A123" s="281"/>
      <c r="E123" s="281"/>
    </row>
    <row r="124" spans="1:5" ht="12.75" customHeight="1" x14ac:dyDescent="0.3">
      <c r="A124" s="281"/>
      <c r="E124" s="281"/>
    </row>
    <row r="125" spans="1:5" ht="12.75" customHeight="1" x14ac:dyDescent="0.3">
      <c r="A125" s="281"/>
      <c r="E125" s="281"/>
    </row>
    <row r="126" spans="1:5" ht="12.75" customHeight="1" x14ac:dyDescent="0.3">
      <c r="A126" s="281"/>
    </row>
  </sheetData>
  <sheetProtection algorithmName="SHA-512" hashValue="FLO1Gk13NV9ZhSvC/6DN8SEIivkXS4b4aqEPyokqkK03etuZ4ZNC1IdtcYIjKBdzyTe6a7r8ufGPPAIurABbmg==" saltValue="geLcRF8urxB8G0uEL4qr8w==" spinCount="100000" sheet="1" formatCells="0" formatColumns="0" formatRows="0"/>
  <protectedRanges>
    <protectedRange sqref="S10 H11 H13 H15 H17" name="Range1"/>
  </protectedRanges>
  <mergeCells count="62">
    <mergeCell ref="B36:Q37"/>
    <mergeCell ref="HA4:HC4"/>
    <mergeCell ref="HE4:HG4"/>
    <mergeCell ref="HI4:HK4"/>
    <mergeCell ref="HM4:HO4"/>
    <mergeCell ref="GK4:GM4"/>
    <mergeCell ref="GO4:GQ4"/>
    <mergeCell ref="GS4:GU4"/>
    <mergeCell ref="GW4:GY4"/>
    <mergeCell ref="GG4:GI4"/>
    <mergeCell ref="FE4:FG4"/>
    <mergeCell ref="FI4:FK4"/>
    <mergeCell ref="FM4:FO4"/>
    <mergeCell ref="FQ4:FS4"/>
    <mergeCell ref="FU4:FW4"/>
    <mergeCell ref="FY4:GA4"/>
    <mergeCell ref="IK4:IM4"/>
    <mergeCell ref="IO4:IQ4"/>
    <mergeCell ref="IS4:IU4"/>
    <mergeCell ref="HQ4:HS4"/>
    <mergeCell ref="HU4:HW4"/>
    <mergeCell ref="HY4:IA4"/>
    <mergeCell ref="IC4:IE4"/>
    <mergeCell ref="IG4:II4"/>
    <mergeCell ref="GC4:GE4"/>
    <mergeCell ref="EO4:EQ4"/>
    <mergeCell ref="ES4:EU4"/>
    <mergeCell ref="EW4:EY4"/>
    <mergeCell ref="FA4:FC4"/>
    <mergeCell ref="DY4:EA4"/>
    <mergeCell ref="EC4:EE4"/>
    <mergeCell ref="EG4:EI4"/>
    <mergeCell ref="EK4:EM4"/>
    <mergeCell ref="DI4:DK4"/>
    <mergeCell ref="DM4:DO4"/>
    <mergeCell ref="DQ4:DS4"/>
    <mergeCell ref="DU4:DW4"/>
    <mergeCell ref="CS4:CU4"/>
    <mergeCell ref="CW4:CY4"/>
    <mergeCell ref="DA4:DC4"/>
    <mergeCell ref="DE4:DG4"/>
    <mergeCell ref="CC4:CE4"/>
    <mergeCell ref="CG4:CI4"/>
    <mergeCell ref="CK4:CM4"/>
    <mergeCell ref="CO4:CQ4"/>
    <mergeCell ref="BM4:BO4"/>
    <mergeCell ref="BQ4:BS4"/>
    <mergeCell ref="BU4:BW4"/>
    <mergeCell ref="BY4:CA4"/>
    <mergeCell ref="AW4:AY4"/>
    <mergeCell ref="BA4:BC4"/>
    <mergeCell ref="BE4:BG4"/>
    <mergeCell ref="BI4:BK4"/>
    <mergeCell ref="B6:Q7"/>
    <mergeCell ref="AG4:AI4"/>
    <mergeCell ref="AK4:AM4"/>
    <mergeCell ref="AO4:AQ4"/>
    <mergeCell ref="AS4:AU4"/>
    <mergeCell ref="Q4:S4"/>
    <mergeCell ref="U4:W4"/>
    <mergeCell ref="Y4:AA4"/>
    <mergeCell ref="AC4:AE4"/>
  </mergeCells>
  <phoneticPr fontId="0" type="noConversion"/>
  <conditionalFormatting sqref="J11:Q31">
    <cfRule type="expression" dxfId="1" priority="2">
      <formula>CONCATENATE($L$33," ",$L$34)=$P11</formula>
    </cfRule>
  </conditionalFormatting>
  <conditionalFormatting sqref="J12:Q12">
    <cfRule type="expression" dxfId="0" priority="1">
      <formula>CONCATENATE($L$33," ",$L$34)=P12</formula>
    </cfRule>
  </conditionalFormatting>
  <pageMargins left="0.78740157499999996" right="0.49" top="0.984251969" bottom="0.984251969" header="0.4921259845" footer="0.4921259845"/>
  <pageSetup paperSize="9" scale="10" orientation="landscape" horizontalDpi="1200" verticalDpi="1200" r:id="rId1"/>
  <headerFooter alignWithMargins="0">
    <oddHeader>Page &amp;P&amp;R&amp;A</oddHeader>
    <oddFooter>&amp;F</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8">
    <tabColor rgb="FF727D7F"/>
  </sheetPr>
  <dimension ref="A1:AP186"/>
  <sheetViews>
    <sheetView zoomScale="80" zoomScaleNormal="100" workbookViewId="0">
      <selection activeCell="Y64" sqref="Y64"/>
    </sheetView>
  </sheetViews>
  <sheetFormatPr defaultColWidth="9.1796875" defaultRowHeight="13" x14ac:dyDescent="0.3"/>
  <cols>
    <col min="1" max="1" width="2.81640625" style="135" customWidth="1"/>
    <col min="2" max="2" width="35.54296875" style="135" customWidth="1"/>
    <col min="3" max="3" width="8" style="135" customWidth="1"/>
    <col min="4" max="4" width="44.1796875" style="135" customWidth="1"/>
    <col min="5" max="5" width="50.7265625" style="135" customWidth="1"/>
    <col min="6" max="6" width="27.453125" style="135" customWidth="1"/>
    <col min="7" max="7" width="11.54296875" style="135" customWidth="1"/>
    <col min="8" max="8" width="14.7265625" style="135" customWidth="1"/>
    <col min="9" max="9" width="2.1796875" style="135" customWidth="1"/>
    <col min="10" max="10" width="8.453125" style="135" customWidth="1"/>
    <col min="11" max="12" width="2.1796875" style="135" customWidth="1"/>
    <col min="13" max="13" width="7.1796875" style="135" customWidth="1"/>
    <col min="14" max="14" width="2.1796875" style="135" customWidth="1"/>
    <col min="15" max="15" width="8" style="135" customWidth="1"/>
    <col min="16" max="16" width="2.81640625" style="135" customWidth="1"/>
    <col min="17" max="17" width="4.81640625" style="135" customWidth="1"/>
    <col min="18" max="18" width="2.1796875" style="135" customWidth="1"/>
    <col min="19" max="19" width="1.81640625" style="135" customWidth="1"/>
    <col min="20" max="20" width="2.81640625" style="135" customWidth="1"/>
    <col min="21" max="21" width="11.54296875" style="135" customWidth="1"/>
    <col min="22" max="22" width="15.54296875" style="135" customWidth="1"/>
    <col min="23" max="16384" width="9.1796875" style="135"/>
  </cols>
  <sheetData>
    <row r="1" spans="1:27" s="283" customFormat="1" ht="15" customHeight="1" x14ac:dyDescent="0.35">
      <c r="A1" s="282"/>
      <c r="F1" s="516"/>
      <c r="G1" s="516"/>
      <c r="H1" s="516"/>
      <c r="I1" s="516"/>
      <c r="J1" s="516"/>
      <c r="K1" s="516"/>
      <c r="L1" s="516"/>
      <c r="M1" s="516"/>
      <c r="N1" s="516"/>
      <c r="O1" s="516"/>
      <c r="P1" s="516"/>
      <c r="Q1" s="516"/>
      <c r="R1" s="516"/>
      <c r="S1" s="516"/>
      <c r="T1" s="284"/>
      <c r="U1" s="282"/>
      <c r="V1" s="282"/>
      <c r="W1" s="282"/>
      <c r="X1" s="282"/>
      <c r="Y1" s="282"/>
      <c r="Z1" s="282"/>
      <c r="AA1" s="282"/>
    </row>
    <row r="2" spans="1:27" s="283" customFormat="1" ht="15" customHeight="1" x14ac:dyDescent="0.35">
      <c r="A2" s="282"/>
      <c r="F2" s="284"/>
      <c r="G2" s="284"/>
      <c r="H2" s="284"/>
      <c r="I2" s="284"/>
      <c r="J2" s="284"/>
      <c r="K2" s="284"/>
      <c r="L2" s="284"/>
      <c r="M2" s="284"/>
      <c r="N2" s="284"/>
      <c r="O2" s="284"/>
      <c r="P2" s="284"/>
      <c r="Q2" s="284"/>
      <c r="R2" s="284"/>
      <c r="S2" s="284"/>
      <c r="T2" s="284"/>
      <c r="U2" s="282"/>
      <c r="V2" s="282"/>
      <c r="W2" s="282"/>
      <c r="X2" s="282"/>
      <c r="Y2" s="282"/>
      <c r="Z2" s="282"/>
      <c r="AA2" s="282"/>
    </row>
    <row r="3" spans="1:27" s="283" customFormat="1" ht="15" customHeight="1" x14ac:dyDescent="0.35">
      <c r="A3" s="282"/>
      <c r="F3" s="284"/>
      <c r="G3" s="284"/>
      <c r="H3" s="284"/>
      <c r="I3" s="284"/>
      <c r="J3" s="284"/>
      <c r="K3" s="284"/>
      <c r="L3" s="284"/>
      <c r="M3" s="284"/>
      <c r="N3" s="284"/>
      <c r="O3" s="284"/>
      <c r="P3" s="284"/>
      <c r="Q3" s="284"/>
      <c r="R3" s="284"/>
      <c r="S3" s="284"/>
      <c r="T3" s="284"/>
      <c r="U3" s="282"/>
      <c r="V3" s="282"/>
      <c r="W3" s="282"/>
      <c r="X3" s="282"/>
      <c r="Y3" s="282"/>
      <c r="Z3" s="282"/>
      <c r="AA3" s="282"/>
    </row>
    <row r="4" spans="1:27" s="283" customFormat="1" ht="15" customHeight="1" x14ac:dyDescent="0.35">
      <c r="A4" s="282"/>
      <c r="F4" s="284"/>
      <c r="G4" s="284"/>
      <c r="H4" s="284"/>
      <c r="I4" s="284"/>
      <c r="J4" s="284"/>
      <c r="K4" s="284"/>
      <c r="L4" s="284"/>
      <c r="M4" s="284"/>
      <c r="N4" s="284"/>
      <c r="O4" s="284"/>
      <c r="P4" s="284"/>
      <c r="Q4" s="284"/>
      <c r="R4" s="284"/>
      <c r="S4" s="284"/>
      <c r="T4" s="284"/>
      <c r="U4" s="282"/>
      <c r="V4" s="282"/>
      <c r="W4" s="282"/>
      <c r="X4" s="282"/>
      <c r="Y4" s="282"/>
      <c r="Z4" s="282"/>
      <c r="AA4" s="282"/>
    </row>
    <row r="5" spans="1:27" s="286" customFormat="1" ht="15" customHeight="1" x14ac:dyDescent="0.35">
      <c r="A5" s="285"/>
      <c r="B5" s="285"/>
      <c r="C5" s="285"/>
      <c r="D5" s="285"/>
      <c r="E5" s="285"/>
      <c r="F5" s="285"/>
      <c r="G5" s="285"/>
      <c r="H5" s="285"/>
      <c r="I5" s="285"/>
      <c r="J5" s="285"/>
      <c r="K5" s="285"/>
      <c r="L5" s="285"/>
      <c r="M5" s="285"/>
      <c r="N5" s="285"/>
      <c r="O5" s="285"/>
      <c r="P5" s="285"/>
      <c r="Q5" s="285"/>
      <c r="R5" s="285"/>
      <c r="S5" s="285"/>
      <c r="T5" s="285"/>
      <c r="U5" s="285"/>
      <c r="V5" s="285"/>
      <c r="W5" s="285"/>
      <c r="X5" s="285"/>
      <c r="Y5" s="285"/>
      <c r="Z5" s="285"/>
      <c r="AA5" s="285"/>
    </row>
    <row r="6" spans="1:27" s="286" customFormat="1" ht="14.5" x14ac:dyDescent="0.35">
      <c r="A6" s="285"/>
      <c r="B6" s="285"/>
      <c r="C6" s="285"/>
      <c r="D6" s="285"/>
      <c r="E6" s="285"/>
      <c r="F6" s="285"/>
      <c r="G6" s="285"/>
      <c r="H6" s="285"/>
      <c r="I6" s="285"/>
      <c r="J6" s="285"/>
      <c r="K6" s="285"/>
      <c r="L6" s="285"/>
      <c r="M6" s="285"/>
      <c r="N6" s="285"/>
      <c r="O6" s="285"/>
      <c r="P6" s="285"/>
      <c r="Q6" s="285"/>
      <c r="R6" s="285"/>
      <c r="S6" s="285"/>
      <c r="T6" s="285"/>
      <c r="U6" s="285"/>
      <c r="V6" s="285"/>
      <c r="W6" s="285"/>
      <c r="X6" s="285"/>
      <c r="Y6" s="285"/>
      <c r="Z6" s="285"/>
      <c r="AA6" s="285"/>
    </row>
    <row r="7" spans="1:27" s="130" customFormat="1" ht="17.5" customHeight="1" x14ac:dyDescent="0.35">
      <c r="A7" s="424" t="s">
        <v>700</v>
      </c>
      <c r="B7" s="424"/>
      <c r="C7" s="424"/>
      <c r="D7" s="424"/>
      <c r="E7" s="424"/>
      <c r="F7" s="424"/>
      <c r="G7" s="424"/>
      <c r="H7" s="424"/>
      <c r="I7" s="424"/>
      <c r="J7" s="424"/>
      <c r="K7" s="424"/>
      <c r="L7" s="424"/>
      <c r="M7" s="424"/>
      <c r="N7" s="424"/>
      <c r="O7" s="424"/>
      <c r="P7" s="424"/>
      <c r="Q7" s="424"/>
      <c r="R7" s="424"/>
      <c r="S7" s="424"/>
      <c r="T7" s="424"/>
      <c r="U7" s="424"/>
      <c r="V7" s="424"/>
      <c r="W7" s="424"/>
      <c r="X7" s="424"/>
      <c r="Y7" s="287"/>
      <c r="Z7" s="287"/>
      <c r="AA7" s="287"/>
    </row>
    <row r="8" spans="1:27" s="130" customFormat="1" ht="13.15" customHeight="1" x14ac:dyDescent="0.35">
      <c r="A8" s="424"/>
      <c r="B8" s="424"/>
      <c r="C8" s="424"/>
      <c r="D8" s="424"/>
      <c r="E8" s="424"/>
      <c r="F8" s="424"/>
      <c r="G8" s="424"/>
      <c r="H8" s="424"/>
      <c r="I8" s="424"/>
      <c r="J8" s="424"/>
      <c r="K8" s="424"/>
      <c r="L8" s="424"/>
      <c r="M8" s="424"/>
      <c r="N8" s="424"/>
      <c r="O8" s="424"/>
      <c r="P8" s="424"/>
      <c r="Q8" s="424"/>
      <c r="R8" s="424"/>
      <c r="S8" s="424"/>
      <c r="T8" s="424"/>
      <c r="U8" s="424"/>
      <c r="V8" s="424"/>
      <c r="W8" s="424"/>
      <c r="X8" s="424"/>
      <c r="Y8" s="287"/>
      <c r="Z8" s="287"/>
      <c r="AA8" s="287"/>
    </row>
    <row r="9" spans="1:27" ht="22.5" customHeight="1" x14ac:dyDescent="0.35">
      <c r="A9" s="288"/>
      <c r="B9" s="288"/>
      <c r="C9" s="288"/>
      <c r="D9" s="288"/>
      <c r="E9" s="288"/>
      <c r="F9" s="288"/>
      <c r="G9" s="288"/>
      <c r="H9" s="288"/>
      <c r="I9" s="288"/>
      <c r="J9" s="288"/>
      <c r="K9" s="288"/>
      <c r="L9" s="288"/>
      <c r="M9" s="288"/>
      <c r="N9" s="288"/>
      <c r="O9" s="288"/>
      <c r="P9" s="288"/>
      <c r="Q9" s="288"/>
      <c r="R9" s="288"/>
      <c r="S9" s="288"/>
      <c r="T9" s="288"/>
      <c r="U9" s="288"/>
      <c r="V9" s="288"/>
      <c r="W9" s="288"/>
      <c r="X9" s="288"/>
      <c r="Y9" s="132"/>
      <c r="Z9" s="132"/>
      <c r="AA9" s="132"/>
    </row>
    <row r="10" spans="1:27" s="286" customFormat="1" ht="22.5" customHeight="1" x14ac:dyDescent="0.45">
      <c r="A10" s="289"/>
      <c r="B10" s="517" t="s">
        <v>250</v>
      </c>
      <c r="C10" s="517"/>
      <c r="D10" s="517"/>
      <c r="E10" s="517"/>
      <c r="F10" s="517"/>
      <c r="G10" s="517"/>
      <c r="H10" s="517"/>
      <c r="I10" s="517"/>
      <c r="J10" s="517"/>
      <c r="K10" s="517"/>
      <c r="L10" s="517"/>
      <c r="M10" s="517"/>
      <c r="N10" s="517"/>
      <c r="O10" s="517"/>
      <c r="P10" s="517"/>
      <c r="Q10" s="517"/>
      <c r="R10" s="517"/>
      <c r="S10" s="517"/>
    </row>
    <row r="11" spans="1:27" s="286" customFormat="1" ht="3.75" customHeight="1" x14ac:dyDescent="0.45">
      <c r="A11" s="289"/>
      <c r="B11" s="290"/>
      <c r="C11" s="290"/>
      <c r="D11" s="290"/>
      <c r="E11" s="290"/>
      <c r="F11" s="290"/>
      <c r="G11" s="290"/>
      <c r="H11" s="290"/>
      <c r="I11" s="290"/>
      <c r="J11" s="132"/>
      <c r="K11" s="132"/>
      <c r="L11" s="132"/>
      <c r="M11" s="132"/>
      <c r="N11" s="285"/>
      <c r="O11" s="285"/>
      <c r="P11" s="285"/>
      <c r="Q11" s="285"/>
      <c r="R11" s="285"/>
      <c r="S11" s="285"/>
    </row>
    <row r="12" spans="1:27" s="286" customFormat="1" ht="14.5" x14ac:dyDescent="0.35">
      <c r="A12" s="285"/>
      <c r="B12" s="515" t="s">
        <v>192</v>
      </c>
      <c r="C12" s="515"/>
      <c r="D12" s="524" t="s">
        <v>196</v>
      </c>
      <c r="E12" s="524"/>
      <c r="F12" s="524"/>
      <c r="G12" s="524"/>
      <c r="H12" s="524"/>
      <c r="I12" s="524"/>
      <c r="J12" s="524"/>
      <c r="K12" s="524"/>
      <c r="L12" s="524"/>
      <c r="M12" s="524"/>
      <c r="N12" s="524"/>
      <c r="O12" s="524"/>
      <c r="P12" s="524"/>
      <c r="Q12" s="524"/>
      <c r="R12" s="524"/>
      <c r="S12" s="524"/>
      <c r="T12" s="524"/>
    </row>
    <row r="13" spans="1:27" s="286" customFormat="1" ht="0.75" customHeight="1" x14ac:dyDescent="0.35">
      <c r="A13" s="285"/>
      <c r="B13" s="291"/>
      <c r="C13" s="291"/>
      <c r="D13" s="292"/>
      <c r="E13" s="292"/>
      <c r="F13" s="293"/>
      <c r="G13" s="293"/>
      <c r="H13" s="293"/>
      <c r="I13" s="293"/>
      <c r="J13" s="287"/>
      <c r="K13" s="287"/>
      <c r="L13" s="287"/>
      <c r="M13" s="287"/>
      <c r="N13" s="293"/>
      <c r="O13" s="293"/>
      <c r="P13" s="293"/>
      <c r="Q13" s="293"/>
      <c r="R13" s="293"/>
      <c r="S13" s="293"/>
    </row>
    <row r="14" spans="1:27" s="286" customFormat="1" ht="14.5" x14ac:dyDescent="0.35">
      <c r="A14" s="285"/>
      <c r="B14" s="515" t="s">
        <v>5</v>
      </c>
      <c r="C14" s="515"/>
      <c r="D14" s="294" t="s">
        <v>197</v>
      </c>
      <c r="E14" s="294"/>
      <c r="G14" s="294"/>
      <c r="H14" s="294"/>
      <c r="I14" s="294"/>
      <c r="J14" s="294"/>
      <c r="K14" s="294"/>
      <c r="L14" s="294"/>
      <c r="M14" s="294"/>
      <c r="N14" s="294"/>
      <c r="O14" s="294"/>
      <c r="P14" s="294"/>
      <c r="Q14" s="294"/>
      <c r="R14" s="294"/>
      <c r="S14" s="294"/>
    </row>
    <row r="15" spans="1:27" s="286" customFormat="1" ht="0.75" customHeight="1" x14ac:dyDescent="0.35">
      <c r="A15" s="285"/>
      <c r="B15" s="295"/>
      <c r="C15" s="295"/>
      <c r="D15" s="296"/>
      <c r="E15" s="296"/>
      <c r="F15" s="293"/>
      <c r="G15" s="293"/>
      <c r="H15" s="293"/>
      <c r="I15" s="293"/>
      <c r="J15" s="287"/>
      <c r="K15" s="287"/>
      <c r="L15" s="287"/>
      <c r="M15" s="287"/>
      <c r="N15" s="293"/>
      <c r="O15" s="293"/>
      <c r="P15" s="293"/>
      <c r="Q15" s="293"/>
      <c r="R15" s="293"/>
      <c r="S15" s="293"/>
    </row>
    <row r="16" spans="1:27" s="286" customFormat="1" ht="14.5" x14ac:dyDescent="0.35">
      <c r="A16" s="285"/>
      <c r="B16" s="515" t="s">
        <v>195</v>
      </c>
      <c r="C16" s="515"/>
      <c r="D16" s="526" t="s">
        <v>198</v>
      </c>
      <c r="E16" s="526"/>
      <c r="F16" s="526"/>
      <c r="G16" s="526"/>
      <c r="H16" s="526"/>
      <c r="I16" s="526"/>
      <c r="J16" s="526"/>
      <c r="K16" s="526"/>
      <c r="L16" s="526"/>
      <c r="M16" s="526"/>
      <c r="N16" s="526"/>
      <c r="O16" s="526"/>
      <c r="P16" s="526"/>
      <c r="Q16" s="526"/>
      <c r="R16" s="526"/>
      <c r="S16" s="526"/>
      <c r="T16" s="297"/>
      <c r="U16" s="297"/>
      <c r="V16" s="297"/>
    </row>
    <row r="17" spans="1:42" s="286" customFormat="1" ht="0.75" customHeight="1" x14ac:dyDescent="0.35">
      <c r="A17" s="285"/>
      <c r="B17" s="291"/>
      <c r="C17" s="291"/>
      <c r="D17" s="292"/>
      <c r="E17" s="292"/>
      <c r="F17" s="293"/>
      <c r="G17" s="293"/>
      <c r="H17" s="293"/>
      <c r="I17" s="293"/>
      <c r="J17" s="287"/>
      <c r="K17" s="287"/>
      <c r="L17" s="287"/>
      <c r="M17" s="287"/>
      <c r="N17" s="293"/>
      <c r="O17" s="293"/>
      <c r="P17" s="293"/>
      <c r="Q17" s="293"/>
      <c r="R17" s="293"/>
      <c r="S17" s="293"/>
    </row>
    <row r="18" spans="1:42" s="286" customFormat="1" ht="14.5" x14ac:dyDescent="0.35">
      <c r="A18" s="285"/>
      <c r="B18" s="515" t="s">
        <v>189</v>
      </c>
      <c r="C18" s="515"/>
      <c r="D18" s="527" t="s">
        <v>199</v>
      </c>
      <c r="E18" s="527"/>
      <c r="F18" s="527"/>
      <c r="G18" s="527"/>
      <c r="H18" s="527"/>
      <c r="I18" s="527"/>
      <c r="J18" s="527"/>
      <c r="K18" s="527"/>
      <c r="L18" s="527"/>
      <c r="M18" s="527"/>
      <c r="N18" s="527"/>
      <c r="O18" s="527"/>
      <c r="P18" s="527"/>
      <c r="Q18" s="527"/>
      <c r="R18" s="527"/>
      <c r="S18" s="527"/>
    </row>
    <row r="19" spans="1:42" s="286" customFormat="1" ht="0.75" customHeight="1" x14ac:dyDescent="0.35">
      <c r="A19" s="285"/>
      <c r="B19" s="291"/>
      <c r="C19" s="291"/>
      <c r="D19" s="292"/>
      <c r="E19" s="292"/>
      <c r="F19" s="293"/>
      <c r="G19" s="293"/>
      <c r="H19" s="293"/>
      <c r="I19" s="293"/>
      <c r="J19" s="287"/>
      <c r="K19" s="287"/>
      <c r="L19" s="287"/>
      <c r="M19" s="287"/>
      <c r="N19" s="293"/>
      <c r="O19" s="293"/>
      <c r="P19" s="293"/>
      <c r="Q19" s="293"/>
      <c r="R19" s="293"/>
      <c r="S19" s="293"/>
    </row>
    <row r="20" spans="1:42" s="286" customFormat="1" ht="14.5" x14ac:dyDescent="0.35">
      <c r="A20" s="285"/>
      <c r="B20" s="515" t="s">
        <v>6</v>
      </c>
      <c r="C20" s="515"/>
      <c r="D20" s="527" t="s">
        <v>200</v>
      </c>
      <c r="E20" s="527"/>
      <c r="F20" s="527"/>
      <c r="G20" s="527"/>
      <c r="H20" s="527"/>
      <c r="I20" s="527"/>
      <c r="J20" s="527"/>
      <c r="K20" s="527"/>
      <c r="L20" s="527"/>
      <c r="M20" s="527"/>
      <c r="N20" s="527"/>
      <c r="O20" s="527"/>
      <c r="P20" s="527"/>
      <c r="Q20" s="527"/>
      <c r="R20" s="527"/>
      <c r="S20" s="527"/>
      <c r="T20" s="527"/>
    </row>
    <row r="21" spans="1:42" s="286" customFormat="1" ht="0.75" customHeight="1" x14ac:dyDescent="0.35">
      <c r="A21" s="285"/>
      <c r="B21" s="291"/>
      <c r="C21" s="291"/>
      <c r="D21" s="291"/>
      <c r="E21" s="291"/>
      <c r="F21" s="298"/>
      <c r="G21" s="298"/>
      <c r="H21" s="298"/>
      <c r="I21" s="298"/>
      <c r="J21" s="299"/>
      <c r="K21" s="299"/>
      <c r="L21" s="299"/>
      <c r="M21" s="299"/>
      <c r="N21" s="299"/>
      <c r="O21" s="300"/>
      <c r="P21" s="300"/>
      <c r="Q21" s="300"/>
      <c r="R21" s="300"/>
      <c r="S21" s="285"/>
      <c r="T21" s="285"/>
      <c r="U21" s="301"/>
      <c r="V21" s="301"/>
      <c r="W21" s="301"/>
      <c r="X21" s="301"/>
      <c r="Y21" s="285"/>
      <c r="Z21" s="302"/>
      <c r="AA21" s="302"/>
    </row>
    <row r="22" spans="1:42" s="286" customFormat="1" ht="22.5" customHeight="1" x14ac:dyDescent="0.35">
      <c r="A22" s="285"/>
      <c r="B22" s="303"/>
      <c r="C22" s="303"/>
      <c r="D22" s="303"/>
      <c r="E22" s="303"/>
      <c r="F22" s="304"/>
      <c r="G22" s="304"/>
      <c r="H22" s="305"/>
      <c r="I22" s="305"/>
      <c r="J22" s="306"/>
      <c r="K22" s="306"/>
      <c r="L22" s="306"/>
      <c r="M22" s="305"/>
      <c r="N22" s="305"/>
      <c r="S22" s="307"/>
      <c r="T22" s="307"/>
      <c r="U22" s="308"/>
      <c r="V22" s="309"/>
      <c r="W22" s="310"/>
      <c r="Y22" s="311"/>
      <c r="Z22" s="285"/>
      <c r="AA22" s="285"/>
      <c r="AB22" s="285"/>
      <c r="AC22" s="285"/>
      <c r="AD22" s="285"/>
      <c r="AE22" s="285"/>
      <c r="AF22" s="285"/>
      <c r="AG22" s="285"/>
      <c r="AH22" s="285"/>
      <c r="AI22" s="285"/>
      <c r="AJ22" s="285"/>
      <c r="AK22" s="285"/>
      <c r="AL22" s="285"/>
      <c r="AM22" s="285"/>
      <c r="AN22" s="285"/>
      <c r="AO22" s="285"/>
      <c r="AP22" s="285"/>
    </row>
    <row r="23" spans="1:42" s="286" customFormat="1" ht="22.5" customHeight="1" x14ac:dyDescent="0.35">
      <c r="A23" s="285"/>
      <c r="B23" s="517" t="s">
        <v>124</v>
      </c>
      <c r="C23" s="517"/>
      <c r="D23" s="517"/>
      <c r="E23" s="517"/>
      <c r="F23" s="517"/>
      <c r="G23" s="517"/>
      <c r="H23" s="517"/>
      <c r="I23" s="517"/>
      <c r="J23" s="517"/>
      <c r="K23" s="517"/>
      <c r="L23" s="517"/>
      <c r="M23" s="517"/>
      <c r="N23" s="517"/>
      <c r="O23" s="517"/>
      <c r="P23" s="517"/>
      <c r="Q23" s="517"/>
      <c r="R23" s="517"/>
      <c r="S23" s="517"/>
      <c r="T23" s="312"/>
      <c r="U23" s="308"/>
      <c r="V23" s="309"/>
      <c r="W23" s="310"/>
      <c r="Y23" s="311"/>
      <c r="Z23" s="285"/>
      <c r="AA23" s="285"/>
      <c r="AB23" s="285"/>
      <c r="AC23" s="285"/>
      <c r="AD23" s="285"/>
      <c r="AE23" s="285"/>
      <c r="AF23" s="285"/>
      <c r="AG23" s="285"/>
      <c r="AH23" s="285"/>
      <c r="AI23" s="285"/>
      <c r="AJ23" s="285"/>
      <c r="AK23" s="285"/>
      <c r="AL23" s="285"/>
      <c r="AM23" s="285"/>
      <c r="AN23" s="285"/>
      <c r="AO23" s="285"/>
      <c r="AP23" s="285"/>
    </row>
    <row r="24" spans="1:42" s="286" customFormat="1" ht="3.75" customHeight="1" x14ac:dyDescent="0.35">
      <c r="A24" s="285"/>
      <c r="B24" s="285"/>
      <c r="C24" s="285"/>
      <c r="D24" s="285"/>
      <c r="E24" s="285"/>
      <c r="F24" s="313"/>
      <c r="G24" s="313"/>
      <c r="H24" s="313"/>
      <c r="I24" s="313"/>
      <c r="J24" s="132"/>
      <c r="K24" s="132"/>
      <c r="L24" s="132"/>
      <c r="M24" s="132"/>
      <c r="N24" s="132"/>
      <c r="O24" s="132"/>
      <c r="P24" s="132"/>
      <c r="Q24" s="132"/>
      <c r="R24" s="132"/>
      <c r="S24" s="132"/>
      <c r="T24" s="132"/>
      <c r="U24" s="285"/>
      <c r="V24" s="285"/>
      <c r="W24" s="285"/>
      <c r="X24" s="285"/>
      <c r="Y24" s="285"/>
      <c r="Z24" s="285"/>
      <c r="AA24" s="285"/>
      <c r="AB24" s="285"/>
      <c r="AC24" s="285"/>
      <c r="AD24" s="285"/>
      <c r="AE24" s="285"/>
      <c r="AF24" s="285"/>
      <c r="AG24" s="285"/>
      <c r="AH24" s="285"/>
      <c r="AI24" s="285"/>
      <c r="AJ24" s="285"/>
      <c r="AK24" s="285"/>
      <c r="AL24" s="285"/>
      <c r="AM24" s="285"/>
      <c r="AN24" s="285"/>
      <c r="AO24" s="285"/>
      <c r="AP24" s="285"/>
    </row>
    <row r="25" spans="1:42" s="286" customFormat="1" ht="33.75" customHeight="1" x14ac:dyDescent="0.35">
      <c r="A25" s="285"/>
      <c r="B25" s="520" t="s">
        <v>3</v>
      </c>
      <c r="C25" s="520"/>
      <c r="D25" s="528" t="s">
        <v>126</v>
      </c>
      <c r="E25" s="528"/>
      <c r="F25" s="528"/>
      <c r="G25" s="528"/>
      <c r="H25" s="528"/>
      <c r="I25" s="528"/>
      <c r="J25" s="528"/>
      <c r="K25" s="528"/>
      <c r="L25" s="528"/>
      <c r="M25" s="528"/>
      <c r="N25" s="528"/>
      <c r="O25" s="528"/>
      <c r="P25" s="528"/>
      <c r="Q25" s="528"/>
      <c r="R25" s="528"/>
      <c r="S25" s="528"/>
      <c r="T25" s="314"/>
      <c r="U25" s="315"/>
      <c r="V25" s="315"/>
      <c r="W25" s="285"/>
      <c r="X25" s="285"/>
      <c r="Y25" s="285"/>
      <c r="Z25" s="285"/>
      <c r="AA25" s="285"/>
      <c r="AB25" s="285"/>
      <c r="AC25" s="285"/>
      <c r="AD25" s="285"/>
      <c r="AE25" s="285"/>
      <c r="AF25" s="285"/>
      <c r="AG25" s="285"/>
      <c r="AH25" s="285"/>
      <c r="AI25" s="285"/>
      <c r="AJ25" s="285"/>
      <c r="AK25" s="285"/>
      <c r="AL25" s="285"/>
      <c r="AM25" s="285"/>
      <c r="AN25" s="285"/>
      <c r="AO25" s="285"/>
      <c r="AP25" s="285"/>
    </row>
    <row r="26" spans="1:42" s="286" customFormat="1" ht="0.75" customHeight="1" x14ac:dyDescent="0.45">
      <c r="A26" s="289"/>
      <c r="B26" s="291"/>
      <c r="C26" s="291"/>
      <c r="D26" s="316"/>
      <c r="E26" s="316"/>
      <c r="F26" s="317"/>
      <c r="G26" s="317"/>
      <c r="H26" s="317"/>
      <c r="I26" s="317"/>
      <c r="J26" s="318"/>
      <c r="K26" s="318"/>
      <c r="L26" s="318"/>
      <c r="M26" s="318"/>
      <c r="N26" s="318"/>
      <c r="O26" s="318"/>
      <c r="P26" s="318"/>
      <c r="Q26" s="318"/>
      <c r="R26" s="318"/>
      <c r="S26" s="318"/>
      <c r="T26" s="319"/>
      <c r="U26" s="315"/>
      <c r="V26" s="315"/>
      <c r="W26" s="285"/>
      <c r="X26" s="285"/>
      <c r="Y26" s="285"/>
      <c r="Z26" s="285"/>
      <c r="AA26" s="285"/>
      <c r="AB26" s="285"/>
      <c r="AC26" s="285"/>
      <c r="AD26" s="285"/>
      <c r="AE26" s="285"/>
      <c r="AF26" s="285"/>
      <c r="AG26" s="285"/>
      <c r="AH26" s="285"/>
      <c r="AI26" s="285"/>
      <c r="AJ26" s="285"/>
      <c r="AK26" s="285"/>
      <c r="AL26" s="285"/>
      <c r="AM26" s="285"/>
      <c r="AN26" s="285"/>
      <c r="AO26" s="285"/>
      <c r="AP26" s="285"/>
    </row>
    <row r="27" spans="1:42" s="286" customFormat="1" ht="33.75" customHeight="1" x14ac:dyDescent="0.45">
      <c r="A27" s="289"/>
      <c r="B27" s="520" t="s">
        <v>127</v>
      </c>
      <c r="C27" s="520"/>
      <c r="D27" s="501" t="s">
        <v>128</v>
      </c>
      <c r="E27" s="501"/>
      <c r="F27" s="501"/>
      <c r="G27" s="501"/>
      <c r="H27" s="501"/>
      <c r="I27" s="501"/>
      <c r="J27" s="501"/>
      <c r="K27" s="501"/>
      <c r="L27" s="501"/>
      <c r="M27" s="501"/>
      <c r="N27" s="501"/>
      <c r="O27" s="501"/>
      <c r="P27" s="501"/>
      <c r="Q27" s="501"/>
      <c r="R27" s="501"/>
      <c r="S27" s="501"/>
      <c r="T27" s="319"/>
      <c r="U27" s="315"/>
      <c r="V27" s="315"/>
      <c r="W27" s="320"/>
      <c r="X27" s="285"/>
      <c r="Y27" s="285"/>
      <c r="Z27" s="285"/>
      <c r="AA27" s="285"/>
      <c r="AB27" s="285"/>
      <c r="AC27" s="285"/>
      <c r="AD27" s="285"/>
      <c r="AE27" s="285"/>
      <c r="AF27" s="285"/>
      <c r="AG27" s="285"/>
      <c r="AH27" s="285"/>
      <c r="AI27" s="285"/>
      <c r="AJ27" s="285"/>
      <c r="AK27" s="285"/>
      <c r="AL27" s="285"/>
      <c r="AM27" s="285"/>
      <c r="AN27" s="285"/>
      <c r="AO27" s="285"/>
      <c r="AP27" s="285"/>
    </row>
    <row r="28" spans="1:42" s="286" customFormat="1" ht="0.75" customHeight="1" x14ac:dyDescent="0.35">
      <c r="A28" s="285"/>
      <c r="B28" s="295"/>
      <c r="C28" s="295"/>
      <c r="D28" s="321"/>
      <c r="E28" s="321"/>
      <c r="F28" s="317"/>
      <c r="G28" s="317"/>
      <c r="H28" s="317"/>
      <c r="I28" s="317"/>
      <c r="J28" s="318"/>
      <c r="K28" s="318"/>
      <c r="L28" s="318"/>
      <c r="M28" s="318"/>
      <c r="N28" s="318"/>
      <c r="O28" s="318"/>
      <c r="P28" s="318"/>
      <c r="Q28" s="318"/>
      <c r="R28" s="318"/>
      <c r="S28" s="318"/>
      <c r="T28" s="315"/>
      <c r="U28" s="315"/>
      <c r="V28" s="315"/>
      <c r="W28" s="322"/>
      <c r="X28" s="285"/>
      <c r="Y28" s="285"/>
      <c r="Z28" s="285"/>
      <c r="AA28" s="285"/>
      <c r="AB28" s="285"/>
      <c r="AC28" s="285"/>
      <c r="AD28" s="285"/>
      <c r="AE28" s="285"/>
      <c r="AF28" s="285"/>
      <c r="AG28" s="285"/>
      <c r="AH28" s="285"/>
      <c r="AI28" s="285"/>
      <c r="AJ28" s="285"/>
      <c r="AK28" s="285"/>
      <c r="AL28" s="285"/>
      <c r="AM28" s="285"/>
      <c r="AN28" s="285"/>
      <c r="AO28" s="285"/>
      <c r="AP28" s="285"/>
    </row>
    <row r="29" spans="1:42" s="286" customFormat="1" ht="14.5" x14ac:dyDescent="0.35">
      <c r="A29" s="285"/>
      <c r="B29" s="515" t="s">
        <v>129</v>
      </c>
      <c r="C29" s="515"/>
      <c r="D29" s="526" t="s">
        <v>130</v>
      </c>
      <c r="E29" s="526"/>
      <c r="F29" s="526"/>
      <c r="G29" s="526"/>
      <c r="H29" s="526"/>
      <c r="I29" s="526"/>
      <c r="J29" s="526"/>
      <c r="K29" s="526"/>
      <c r="L29" s="526"/>
      <c r="M29" s="526"/>
      <c r="N29" s="526"/>
      <c r="O29" s="526"/>
      <c r="P29" s="526"/>
      <c r="Q29" s="526"/>
      <c r="R29" s="526"/>
      <c r="S29" s="526"/>
      <c r="T29" s="526"/>
      <c r="U29" s="526"/>
      <c r="V29" s="526"/>
      <c r="W29" s="322"/>
      <c r="X29" s="285"/>
      <c r="Y29" s="285"/>
      <c r="Z29" s="285"/>
      <c r="AA29" s="285"/>
      <c r="AB29" s="285"/>
      <c r="AC29" s="285"/>
      <c r="AD29" s="285"/>
      <c r="AE29" s="285"/>
      <c r="AF29" s="285"/>
      <c r="AG29" s="285"/>
      <c r="AH29" s="285"/>
      <c r="AI29" s="285"/>
      <c r="AJ29" s="285"/>
      <c r="AK29" s="285"/>
      <c r="AL29" s="285"/>
      <c r="AM29" s="285"/>
      <c r="AN29" s="285"/>
      <c r="AO29" s="285"/>
      <c r="AP29" s="285"/>
    </row>
    <row r="30" spans="1:42" s="286" customFormat="1" ht="0.75" customHeight="1" x14ac:dyDescent="0.35">
      <c r="A30" s="285"/>
      <c r="B30" s="291"/>
      <c r="C30" s="291"/>
      <c r="D30" s="316"/>
      <c r="E30" s="316"/>
      <c r="F30" s="317"/>
      <c r="G30" s="317"/>
      <c r="H30" s="317"/>
      <c r="I30" s="317"/>
      <c r="J30" s="318"/>
      <c r="K30" s="318"/>
      <c r="L30" s="318"/>
      <c r="M30" s="318"/>
      <c r="N30" s="318"/>
      <c r="O30" s="318"/>
      <c r="P30" s="318"/>
      <c r="Q30" s="318"/>
      <c r="R30" s="318"/>
      <c r="S30" s="318"/>
      <c r="T30" s="315"/>
      <c r="U30" s="315"/>
      <c r="V30" s="315"/>
      <c r="W30" s="322"/>
      <c r="X30" s="285"/>
      <c r="Y30" s="285"/>
      <c r="Z30" s="285"/>
      <c r="AA30" s="285"/>
      <c r="AB30" s="285"/>
      <c r="AC30" s="285"/>
      <c r="AD30" s="285"/>
      <c r="AE30" s="285"/>
      <c r="AF30" s="285"/>
      <c r="AG30" s="285"/>
      <c r="AH30" s="285"/>
      <c r="AI30" s="285"/>
      <c r="AJ30" s="285"/>
      <c r="AK30" s="285"/>
      <c r="AL30" s="285"/>
      <c r="AM30" s="285"/>
      <c r="AN30" s="285"/>
      <c r="AO30" s="285"/>
      <c r="AP30" s="285"/>
    </row>
    <row r="31" spans="1:42" s="325" customFormat="1" ht="16.5" customHeight="1" x14ac:dyDescent="0.35">
      <c r="A31" s="323"/>
      <c r="B31" s="515" t="s">
        <v>131</v>
      </c>
      <c r="C31" s="515"/>
      <c r="D31" s="527" t="s">
        <v>132</v>
      </c>
      <c r="E31" s="527"/>
      <c r="F31" s="527"/>
      <c r="G31" s="527"/>
      <c r="H31" s="527"/>
      <c r="I31" s="527"/>
      <c r="J31" s="527"/>
      <c r="K31" s="527"/>
      <c r="L31" s="527"/>
      <c r="M31" s="527"/>
      <c r="N31" s="527"/>
      <c r="O31" s="527"/>
      <c r="P31" s="527"/>
      <c r="Q31" s="527"/>
      <c r="R31" s="527"/>
      <c r="S31" s="527"/>
      <c r="T31" s="315"/>
      <c r="U31" s="315"/>
      <c r="V31" s="315"/>
      <c r="W31" s="324"/>
      <c r="X31" s="324"/>
      <c r="Y31" s="324"/>
      <c r="Z31" s="324"/>
      <c r="AA31" s="324"/>
      <c r="AB31" s="324"/>
      <c r="AC31" s="324"/>
      <c r="AD31" s="324"/>
      <c r="AE31" s="323"/>
      <c r="AF31" s="323"/>
      <c r="AG31" s="323"/>
      <c r="AH31" s="323"/>
      <c r="AI31" s="323"/>
      <c r="AJ31" s="323"/>
      <c r="AK31" s="323"/>
      <c r="AL31" s="323"/>
      <c r="AM31" s="323"/>
      <c r="AN31" s="323"/>
      <c r="AO31" s="323"/>
      <c r="AP31" s="323"/>
    </row>
    <row r="32" spans="1:42" s="325" customFormat="1" ht="0.75" customHeight="1" x14ac:dyDescent="0.35">
      <c r="A32" s="323"/>
      <c r="B32" s="291"/>
      <c r="C32" s="291"/>
      <c r="D32" s="316"/>
      <c r="E32" s="316"/>
      <c r="F32" s="317"/>
      <c r="G32" s="317"/>
      <c r="H32" s="317"/>
      <c r="I32" s="317"/>
      <c r="J32" s="318"/>
      <c r="K32" s="318"/>
      <c r="L32" s="318"/>
      <c r="M32" s="318"/>
      <c r="N32" s="318"/>
      <c r="O32" s="318"/>
      <c r="P32" s="318"/>
      <c r="Q32" s="318"/>
      <c r="R32" s="318"/>
      <c r="S32" s="318"/>
      <c r="T32" s="315"/>
      <c r="U32" s="315"/>
      <c r="V32" s="315"/>
      <c r="W32" s="324"/>
      <c r="X32" s="324"/>
      <c r="Y32" s="324"/>
      <c r="Z32" s="324"/>
      <c r="AA32" s="324"/>
      <c r="AB32" s="324"/>
      <c r="AC32" s="324"/>
      <c r="AD32" s="324"/>
      <c r="AE32" s="323"/>
      <c r="AF32" s="323"/>
      <c r="AG32" s="323"/>
      <c r="AH32" s="323"/>
      <c r="AI32" s="323"/>
      <c r="AJ32" s="323"/>
      <c r="AK32" s="323"/>
      <c r="AL32" s="323"/>
      <c r="AM32" s="323"/>
      <c r="AN32" s="323"/>
      <c r="AO32" s="323"/>
      <c r="AP32" s="323"/>
    </row>
    <row r="33" spans="1:42" s="325" customFormat="1" ht="14.5" x14ac:dyDescent="0.35">
      <c r="A33" s="323"/>
      <c r="B33" s="515" t="s">
        <v>133</v>
      </c>
      <c r="C33" s="515"/>
      <c r="D33" s="527" t="s">
        <v>134</v>
      </c>
      <c r="E33" s="527"/>
      <c r="F33" s="527"/>
      <c r="G33" s="527"/>
      <c r="H33" s="527"/>
      <c r="I33" s="527"/>
      <c r="J33" s="527"/>
      <c r="K33" s="527"/>
      <c r="L33" s="527"/>
      <c r="M33" s="527"/>
      <c r="N33" s="527"/>
      <c r="O33" s="527"/>
      <c r="P33" s="527"/>
      <c r="Q33" s="527"/>
      <c r="R33" s="527"/>
      <c r="S33" s="527"/>
      <c r="T33" s="527"/>
      <c r="U33" s="315"/>
      <c r="V33" s="315"/>
      <c r="W33" s="324"/>
      <c r="X33" s="324"/>
      <c r="Y33" s="324"/>
      <c r="Z33" s="324"/>
      <c r="AA33" s="324"/>
      <c r="AB33" s="324"/>
      <c r="AC33" s="324"/>
      <c r="AD33" s="324"/>
      <c r="AE33" s="323"/>
      <c r="AF33" s="323"/>
      <c r="AG33" s="323"/>
      <c r="AH33" s="323"/>
      <c r="AI33" s="323"/>
      <c r="AJ33" s="323"/>
      <c r="AK33" s="323"/>
      <c r="AL33" s="323"/>
      <c r="AM33" s="323"/>
      <c r="AN33" s="323"/>
      <c r="AO33" s="323"/>
      <c r="AP33" s="323"/>
    </row>
    <row r="34" spans="1:42" s="325" customFormat="1" ht="0.75" customHeight="1" x14ac:dyDescent="0.35">
      <c r="A34" s="323"/>
      <c r="B34" s="324"/>
      <c r="C34" s="324"/>
      <c r="D34" s="326"/>
      <c r="E34" s="326"/>
      <c r="F34" s="317"/>
      <c r="G34" s="317"/>
      <c r="H34" s="317"/>
      <c r="I34" s="317"/>
      <c r="J34" s="318"/>
      <c r="K34" s="318"/>
      <c r="L34" s="318"/>
      <c r="M34" s="318"/>
      <c r="N34" s="318"/>
      <c r="O34" s="318"/>
      <c r="P34" s="318"/>
      <c r="Q34" s="318"/>
      <c r="R34" s="318"/>
      <c r="S34" s="318"/>
      <c r="T34" s="327"/>
      <c r="U34" s="327"/>
      <c r="V34" s="327"/>
      <c r="W34" s="323"/>
      <c r="X34" s="323"/>
      <c r="Y34" s="323"/>
      <c r="Z34" s="323"/>
      <c r="AA34" s="323"/>
      <c r="AB34" s="323"/>
      <c r="AC34" s="323"/>
    </row>
    <row r="35" spans="1:42" s="325" customFormat="1" ht="14.5" x14ac:dyDescent="0.35">
      <c r="A35" s="323"/>
      <c r="B35" s="520" t="s">
        <v>135</v>
      </c>
      <c r="C35" s="520"/>
      <c r="D35" s="529" t="s">
        <v>136</v>
      </c>
      <c r="E35" s="529"/>
      <c r="F35" s="529"/>
      <c r="G35" s="529"/>
      <c r="H35" s="529"/>
      <c r="I35" s="529"/>
      <c r="J35" s="529"/>
      <c r="K35" s="529"/>
      <c r="L35" s="529"/>
      <c r="M35" s="529"/>
      <c r="N35" s="529"/>
      <c r="O35" s="529"/>
      <c r="P35" s="529"/>
      <c r="Q35" s="529"/>
      <c r="R35" s="529"/>
      <c r="S35" s="529"/>
      <c r="T35" s="315"/>
      <c r="U35" s="327"/>
      <c r="V35" s="327"/>
      <c r="W35" s="323"/>
      <c r="X35" s="323"/>
      <c r="Y35" s="323"/>
      <c r="Z35" s="323"/>
      <c r="AA35" s="323"/>
      <c r="AB35" s="323"/>
      <c r="AC35" s="323"/>
    </row>
    <row r="36" spans="1:42" s="325" customFormat="1" ht="0.75" customHeight="1" x14ac:dyDescent="0.45">
      <c r="A36" s="328"/>
      <c r="B36" s="291"/>
      <c r="C36" s="291"/>
      <c r="D36" s="316"/>
      <c r="E36" s="316"/>
      <c r="F36" s="317"/>
      <c r="G36" s="317"/>
      <c r="H36" s="317"/>
      <c r="I36" s="317"/>
      <c r="J36" s="318"/>
      <c r="K36" s="318"/>
      <c r="L36" s="318"/>
      <c r="M36" s="318"/>
      <c r="N36" s="318"/>
      <c r="O36" s="318"/>
      <c r="P36" s="318"/>
      <c r="Q36" s="318"/>
      <c r="R36" s="318"/>
      <c r="S36" s="318"/>
      <c r="T36" s="315"/>
      <c r="U36" s="327"/>
      <c r="V36" s="327"/>
      <c r="W36" s="329"/>
      <c r="X36" s="330"/>
      <c r="Y36" s="330"/>
      <c r="Z36" s="330"/>
      <c r="AA36" s="331"/>
      <c r="AB36" s="330"/>
      <c r="AC36" s="330"/>
    </row>
    <row r="37" spans="1:42" s="286" customFormat="1" ht="14.5" x14ac:dyDescent="0.35">
      <c r="A37" s="285"/>
      <c r="B37" s="520" t="s">
        <v>137</v>
      </c>
      <c r="C37" s="520"/>
      <c r="D37" s="501" t="s">
        <v>138</v>
      </c>
      <c r="E37" s="501"/>
      <c r="F37" s="501"/>
      <c r="G37" s="501"/>
      <c r="H37" s="501"/>
      <c r="I37" s="501"/>
      <c r="J37" s="501"/>
      <c r="K37" s="501"/>
      <c r="L37" s="501"/>
      <c r="M37" s="501"/>
      <c r="N37" s="501"/>
      <c r="O37" s="501"/>
      <c r="P37" s="501"/>
      <c r="Q37" s="501"/>
      <c r="R37" s="501"/>
      <c r="S37" s="501"/>
      <c r="T37" s="332"/>
      <c r="U37" s="333"/>
      <c r="V37" s="315"/>
      <c r="W37" s="285"/>
      <c r="X37" s="285"/>
      <c r="Y37" s="285"/>
      <c r="Z37" s="285"/>
      <c r="AA37" s="285"/>
      <c r="AB37" s="285"/>
      <c r="AC37" s="285"/>
    </row>
    <row r="38" spans="1:42" s="286" customFormat="1" ht="0.75" customHeight="1" x14ac:dyDescent="0.35">
      <c r="A38" s="285"/>
      <c r="B38" s="333"/>
      <c r="C38" s="333"/>
      <c r="D38" s="318"/>
      <c r="E38" s="318"/>
      <c r="F38" s="317"/>
      <c r="G38" s="317"/>
      <c r="H38" s="317"/>
      <c r="I38" s="317"/>
      <c r="J38" s="318"/>
      <c r="K38" s="318"/>
      <c r="L38" s="318"/>
      <c r="M38" s="318"/>
      <c r="N38" s="318"/>
      <c r="O38" s="318"/>
      <c r="P38" s="318"/>
      <c r="Q38" s="318"/>
      <c r="R38" s="318"/>
      <c r="S38" s="318"/>
      <c r="T38" s="333"/>
      <c r="U38" s="333"/>
      <c r="V38" s="315"/>
      <c r="W38" s="285"/>
      <c r="X38" s="285"/>
      <c r="Y38" s="285"/>
      <c r="Z38" s="285"/>
      <c r="AA38" s="285"/>
      <c r="AB38" s="285"/>
      <c r="AC38" s="285"/>
    </row>
    <row r="39" spans="1:42" s="286" customFormat="1" ht="14.5" x14ac:dyDescent="0.35">
      <c r="A39" s="285"/>
      <c r="B39" s="515" t="s">
        <v>139</v>
      </c>
      <c r="C39" s="515"/>
      <c r="D39" s="333" t="s">
        <v>140</v>
      </c>
      <c r="E39" s="333"/>
      <c r="F39" s="333"/>
      <c r="G39" s="333"/>
      <c r="H39" s="333"/>
      <c r="I39" s="333"/>
      <c r="J39" s="333"/>
      <c r="K39" s="333"/>
      <c r="L39" s="333"/>
      <c r="M39" s="333"/>
      <c r="N39" s="333"/>
      <c r="O39" s="333"/>
      <c r="P39" s="333"/>
      <c r="Q39" s="333"/>
      <c r="R39" s="333"/>
      <c r="S39" s="333"/>
      <c r="T39" s="333"/>
      <c r="U39" s="333"/>
      <c r="V39" s="315"/>
      <c r="W39" s="285"/>
      <c r="X39" s="285"/>
      <c r="Y39" s="285"/>
      <c r="Z39" s="285"/>
      <c r="AA39" s="285"/>
      <c r="AB39" s="285"/>
      <c r="AC39" s="285"/>
    </row>
    <row r="40" spans="1:42" s="286" customFormat="1" ht="22.5" customHeight="1" x14ac:dyDescent="0.35">
      <c r="A40" s="285"/>
      <c r="B40" s="333"/>
      <c r="C40" s="333"/>
      <c r="D40" s="333"/>
      <c r="E40" s="333"/>
      <c r="F40" s="333"/>
      <c r="G40" s="333"/>
      <c r="H40" s="333"/>
      <c r="I40" s="333"/>
      <c r="J40" s="333"/>
      <c r="K40" s="333"/>
      <c r="L40" s="333"/>
      <c r="M40" s="333"/>
      <c r="N40" s="333"/>
      <c r="O40" s="333"/>
      <c r="P40" s="333"/>
      <c r="Q40" s="333"/>
      <c r="R40" s="333"/>
      <c r="S40" s="333"/>
      <c r="T40" s="333"/>
      <c r="U40" s="285"/>
      <c r="W40" s="285"/>
      <c r="X40" s="285"/>
      <c r="Y40" s="285"/>
      <c r="Z40" s="285"/>
      <c r="AA40" s="285"/>
      <c r="AB40" s="285"/>
      <c r="AC40" s="285"/>
    </row>
    <row r="41" spans="1:42" ht="22.5" customHeight="1" x14ac:dyDescent="0.35">
      <c r="A41" s="132"/>
      <c r="B41" s="517" t="s">
        <v>251</v>
      </c>
      <c r="C41" s="517"/>
      <c r="D41" s="517"/>
      <c r="E41" s="517"/>
      <c r="F41" s="517"/>
      <c r="G41" s="517"/>
      <c r="H41" s="517"/>
      <c r="I41" s="517"/>
      <c r="J41" s="517"/>
      <c r="K41" s="517"/>
      <c r="L41" s="517"/>
      <c r="M41" s="517"/>
      <c r="N41" s="517"/>
      <c r="O41" s="517"/>
      <c r="P41" s="517"/>
      <c r="Q41" s="517"/>
      <c r="R41" s="517"/>
      <c r="S41" s="517"/>
    </row>
    <row r="42" spans="1:42" ht="3.75" customHeight="1" x14ac:dyDescent="0.35">
      <c r="A42" s="285"/>
      <c r="B42" s="285"/>
      <c r="C42" s="285"/>
      <c r="D42" s="285"/>
      <c r="E42" s="285"/>
      <c r="F42" s="313"/>
      <c r="G42" s="313"/>
      <c r="H42" s="313"/>
      <c r="I42" s="313"/>
      <c r="J42" s="132"/>
      <c r="K42" s="132"/>
      <c r="L42" s="132"/>
      <c r="M42" s="132"/>
      <c r="N42" s="132"/>
      <c r="O42" s="132"/>
      <c r="P42" s="132"/>
      <c r="Q42" s="132"/>
      <c r="R42" s="132"/>
      <c r="S42" s="132"/>
      <c r="T42" s="285"/>
      <c r="U42" s="285"/>
      <c r="V42" s="285"/>
    </row>
    <row r="43" spans="1:42" ht="16.5" customHeight="1" x14ac:dyDescent="0.35">
      <c r="A43" s="285"/>
      <c r="B43" s="520" t="s">
        <v>141</v>
      </c>
      <c r="C43" s="520"/>
      <c r="D43" s="528" t="s">
        <v>142</v>
      </c>
      <c r="E43" s="528"/>
      <c r="F43" s="528"/>
      <c r="G43" s="528"/>
      <c r="H43" s="528"/>
      <c r="I43" s="528"/>
      <c r="J43" s="528"/>
      <c r="K43" s="528"/>
      <c r="L43" s="528"/>
      <c r="M43" s="528"/>
      <c r="N43" s="528"/>
      <c r="O43" s="528"/>
      <c r="P43" s="528"/>
      <c r="Q43" s="528"/>
      <c r="R43" s="528"/>
      <c r="S43" s="528"/>
      <c r="T43" s="314"/>
      <c r="U43" s="286"/>
      <c r="V43" s="286"/>
    </row>
    <row r="44" spans="1:42" ht="0.75" customHeight="1" x14ac:dyDescent="0.45">
      <c r="A44" s="289"/>
      <c r="B44" s="291"/>
      <c r="C44" s="291"/>
      <c r="D44" s="316"/>
      <c r="E44" s="316"/>
      <c r="F44" s="317"/>
      <c r="G44" s="317"/>
      <c r="H44" s="317"/>
      <c r="I44" s="317"/>
      <c r="J44" s="318"/>
      <c r="K44" s="318"/>
      <c r="L44" s="318"/>
      <c r="M44" s="318"/>
      <c r="N44" s="318"/>
      <c r="O44" s="318"/>
      <c r="P44" s="318"/>
      <c r="Q44" s="318"/>
      <c r="R44" s="318"/>
      <c r="S44" s="318"/>
      <c r="T44" s="334"/>
      <c r="U44" s="286"/>
      <c r="V44" s="286"/>
    </row>
    <row r="45" spans="1:42" ht="20.25" customHeight="1" x14ac:dyDescent="0.45">
      <c r="A45" s="289"/>
      <c r="B45" s="520" t="s">
        <v>143</v>
      </c>
      <c r="C45" s="520"/>
      <c r="D45" s="501" t="s">
        <v>144</v>
      </c>
      <c r="E45" s="501"/>
      <c r="F45" s="501"/>
      <c r="G45" s="501"/>
      <c r="H45" s="501"/>
      <c r="I45" s="501"/>
      <c r="J45" s="501"/>
      <c r="K45" s="501"/>
      <c r="L45" s="501"/>
      <c r="M45" s="501"/>
      <c r="N45" s="501"/>
      <c r="O45" s="501"/>
      <c r="P45" s="501"/>
      <c r="Q45" s="501"/>
      <c r="R45" s="501"/>
      <c r="S45" s="501"/>
      <c r="T45" s="315"/>
      <c r="U45" s="286"/>
      <c r="V45" s="286"/>
    </row>
    <row r="46" spans="1:42" ht="0.75" customHeight="1" x14ac:dyDescent="0.35">
      <c r="A46" s="285"/>
      <c r="B46" s="295"/>
      <c r="C46" s="295"/>
      <c r="D46" s="321"/>
      <c r="E46" s="321"/>
      <c r="F46" s="317"/>
      <c r="G46" s="317"/>
      <c r="H46" s="317"/>
      <c r="I46" s="317"/>
      <c r="J46" s="318"/>
      <c r="K46" s="318"/>
      <c r="L46" s="318"/>
      <c r="M46" s="318"/>
      <c r="N46" s="318"/>
      <c r="O46" s="318"/>
      <c r="P46" s="318"/>
      <c r="Q46" s="318"/>
      <c r="R46" s="318"/>
      <c r="S46" s="318"/>
      <c r="T46" s="315"/>
      <c r="U46" s="286"/>
      <c r="V46" s="286"/>
    </row>
    <row r="47" spans="1:42" ht="14.5" x14ac:dyDescent="0.35">
      <c r="A47" s="285"/>
      <c r="B47" s="519" t="s">
        <v>145</v>
      </c>
      <c r="C47" s="519"/>
      <c r="D47" s="526" t="s">
        <v>146</v>
      </c>
      <c r="E47" s="526"/>
      <c r="F47" s="526"/>
      <c r="G47" s="526"/>
      <c r="H47" s="526"/>
      <c r="I47" s="526"/>
      <c r="J47" s="526"/>
      <c r="K47" s="526"/>
      <c r="L47" s="526"/>
      <c r="M47" s="526"/>
      <c r="N47" s="526"/>
      <c r="O47" s="526"/>
      <c r="P47" s="526"/>
      <c r="Q47" s="526"/>
      <c r="R47" s="526"/>
      <c r="S47" s="526"/>
      <c r="T47" s="335"/>
      <c r="U47" s="297"/>
      <c r="V47" s="297"/>
    </row>
    <row r="48" spans="1:42" ht="0.75" customHeight="1" x14ac:dyDescent="0.35">
      <c r="A48" s="285"/>
      <c r="B48" s="291"/>
      <c r="C48" s="291"/>
      <c r="D48" s="316"/>
      <c r="E48" s="316"/>
      <c r="F48" s="317"/>
      <c r="G48" s="317"/>
      <c r="H48" s="317"/>
      <c r="I48" s="317"/>
      <c r="J48" s="318"/>
      <c r="K48" s="318"/>
      <c r="L48" s="318"/>
      <c r="M48" s="318"/>
      <c r="N48" s="318"/>
      <c r="O48" s="318"/>
      <c r="P48" s="318"/>
      <c r="Q48" s="318"/>
      <c r="R48" s="318"/>
      <c r="S48" s="318"/>
      <c r="T48" s="315"/>
      <c r="U48" s="286"/>
      <c r="V48" s="286"/>
    </row>
    <row r="49" spans="1:22" ht="14.5" x14ac:dyDescent="0.35">
      <c r="A49" s="323"/>
      <c r="B49" s="519" t="s">
        <v>147</v>
      </c>
      <c r="C49" s="519"/>
      <c r="D49" s="527" t="s">
        <v>148</v>
      </c>
      <c r="E49" s="527"/>
      <c r="F49" s="527"/>
      <c r="G49" s="527"/>
      <c r="H49" s="527"/>
      <c r="I49" s="527"/>
      <c r="J49" s="527"/>
      <c r="K49" s="527"/>
      <c r="L49" s="527"/>
      <c r="M49" s="527"/>
      <c r="N49" s="527"/>
      <c r="O49" s="527"/>
      <c r="P49" s="527"/>
      <c r="Q49" s="527"/>
      <c r="R49" s="527"/>
      <c r="S49" s="527"/>
      <c r="T49" s="315"/>
      <c r="U49" s="286"/>
      <c r="V49" s="286"/>
    </row>
    <row r="50" spans="1:22" ht="0.75" customHeight="1" x14ac:dyDescent="0.35">
      <c r="A50" s="323"/>
      <c r="B50" s="291"/>
      <c r="C50" s="291"/>
      <c r="D50" s="316"/>
      <c r="E50" s="316"/>
      <c r="F50" s="317"/>
      <c r="G50" s="317"/>
      <c r="H50" s="317"/>
      <c r="I50" s="317"/>
      <c r="J50" s="318"/>
      <c r="K50" s="318"/>
      <c r="L50" s="318"/>
      <c r="M50" s="318"/>
      <c r="N50" s="318"/>
      <c r="O50" s="318"/>
      <c r="P50" s="318"/>
      <c r="Q50" s="318"/>
      <c r="R50" s="318"/>
      <c r="S50" s="318"/>
      <c r="T50" s="315"/>
      <c r="U50" s="286"/>
      <c r="V50" s="286"/>
    </row>
    <row r="51" spans="1:22" ht="14.5" x14ac:dyDescent="0.35">
      <c r="A51" s="323"/>
      <c r="B51" s="515" t="s">
        <v>149</v>
      </c>
      <c r="C51" s="515"/>
      <c r="D51" s="527" t="s">
        <v>150</v>
      </c>
      <c r="E51" s="527"/>
      <c r="F51" s="527"/>
      <c r="G51" s="527"/>
      <c r="H51" s="527"/>
      <c r="I51" s="527"/>
      <c r="J51" s="527"/>
      <c r="K51" s="527"/>
      <c r="L51" s="527"/>
      <c r="M51" s="527"/>
      <c r="N51" s="527"/>
      <c r="O51" s="527"/>
      <c r="P51" s="527"/>
      <c r="Q51" s="527"/>
      <c r="R51" s="527"/>
      <c r="S51" s="527"/>
      <c r="T51" s="527"/>
      <c r="U51" s="286"/>
      <c r="V51" s="286"/>
    </row>
    <row r="52" spans="1:22" ht="0.75" customHeight="1" x14ac:dyDescent="0.35">
      <c r="A52" s="323"/>
      <c r="B52" s="324"/>
      <c r="C52" s="324"/>
      <c r="D52" s="326"/>
      <c r="E52" s="326"/>
      <c r="F52" s="317"/>
      <c r="G52" s="317"/>
      <c r="H52" s="317"/>
      <c r="I52" s="317"/>
      <c r="J52" s="318"/>
      <c r="K52" s="318"/>
      <c r="L52" s="318"/>
      <c r="M52" s="318"/>
      <c r="N52" s="318"/>
      <c r="O52" s="318"/>
      <c r="P52" s="318"/>
      <c r="Q52" s="318"/>
      <c r="R52" s="318"/>
      <c r="S52" s="318"/>
      <c r="T52" s="327"/>
      <c r="U52" s="323"/>
      <c r="V52" s="323"/>
    </row>
    <row r="53" spans="1:22" ht="16.5" customHeight="1" x14ac:dyDescent="0.35">
      <c r="A53" s="323"/>
      <c r="B53" s="518" t="s">
        <v>151</v>
      </c>
      <c r="C53" s="518"/>
      <c r="D53" s="501" t="s">
        <v>152</v>
      </c>
      <c r="E53" s="501"/>
      <c r="F53" s="501"/>
      <c r="G53" s="501"/>
      <c r="H53" s="501"/>
      <c r="I53" s="501"/>
      <c r="J53" s="501"/>
      <c r="K53" s="501"/>
      <c r="L53" s="501"/>
      <c r="M53" s="501"/>
      <c r="N53" s="501"/>
      <c r="O53" s="501"/>
      <c r="P53" s="501"/>
      <c r="Q53" s="501"/>
      <c r="R53" s="501"/>
      <c r="S53" s="501"/>
      <c r="T53" s="315"/>
      <c r="U53" s="323"/>
      <c r="V53" s="323"/>
    </row>
    <row r="54" spans="1:22" ht="0.75" customHeight="1" x14ac:dyDescent="0.45">
      <c r="A54" s="328"/>
      <c r="B54" s="291"/>
      <c r="C54" s="291"/>
      <c r="D54" s="316"/>
      <c r="E54" s="316"/>
      <c r="F54" s="317"/>
      <c r="G54" s="317"/>
      <c r="H54" s="317"/>
      <c r="I54" s="317"/>
      <c r="J54" s="318"/>
      <c r="K54" s="318"/>
      <c r="L54" s="318"/>
      <c r="M54" s="318"/>
      <c r="N54" s="318"/>
      <c r="O54" s="318"/>
      <c r="P54" s="318"/>
      <c r="Q54" s="318"/>
      <c r="R54" s="318"/>
      <c r="S54" s="318"/>
      <c r="T54" s="315"/>
      <c r="U54" s="323"/>
      <c r="V54" s="323"/>
    </row>
    <row r="55" spans="1:22" ht="16.5" customHeight="1" x14ac:dyDescent="0.35">
      <c r="A55" s="285"/>
      <c r="B55" s="518" t="s">
        <v>153</v>
      </c>
      <c r="C55" s="518"/>
      <c r="D55" s="501" t="s">
        <v>154</v>
      </c>
      <c r="E55" s="501"/>
      <c r="F55" s="501"/>
      <c r="G55" s="501"/>
      <c r="H55" s="501"/>
      <c r="I55" s="501"/>
      <c r="J55" s="501"/>
      <c r="K55" s="501"/>
      <c r="L55" s="501"/>
      <c r="M55" s="501"/>
      <c r="N55" s="501"/>
      <c r="O55" s="501"/>
      <c r="P55" s="501"/>
      <c r="Q55" s="501"/>
      <c r="R55" s="501"/>
      <c r="S55" s="501"/>
      <c r="T55" s="332"/>
      <c r="U55" s="285"/>
      <c r="V55" s="286"/>
    </row>
    <row r="56" spans="1:22" ht="0.75" customHeight="1" x14ac:dyDescent="0.35">
      <c r="A56" s="285"/>
      <c r="B56" s="333"/>
      <c r="C56" s="333"/>
      <c r="D56" s="318"/>
      <c r="E56" s="318"/>
      <c r="F56" s="317"/>
      <c r="G56" s="317"/>
      <c r="H56" s="317"/>
      <c r="I56" s="317"/>
      <c r="J56" s="318"/>
      <c r="K56" s="318"/>
      <c r="L56" s="318"/>
      <c r="M56" s="318"/>
      <c r="N56" s="318"/>
      <c r="O56" s="318"/>
      <c r="P56" s="318"/>
      <c r="Q56" s="318"/>
      <c r="R56" s="318"/>
      <c r="S56" s="318"/>
      <c r="T56" s="333"/>
      <c r="U56" s="285"/>
      <c r="V56" s="286"/>
    </row>
    <row r="57" spans="1:22" ht="14.5" x14ac:dyDescent="0.35">
      <c r="A57" s="285"/>
      <c r="B57" s="519" t="s">
        <v>155</v>
      </c>
      <c r="C57" s="519"/>
      <c r="D57" s="527" t="s">
        <v>156</v>
      </c>
      <c r="E57" s="527"/>
      <c r="F57" s="527"/>
      <c r="G57" s="527"/>
      <c r="H57" s="527"/>
      <c r="I57" s="527"/>
      <c r="J57" s="527"/>
      <c r="K57" s="527"/>
      <c r="L57" s="527"/>
      <c r="M57" s="527"/>
      <c r="N57" s="527"/>
      <c r="O57" s="527"/>
      <c r="P57" s="527"/>
      <c r="Q57" s="527"/>
      <c r="R57" s="527"/>
      <c r="S57" s="527"/>
      <c r="T57" s="333"/>
      <c r="U57" s="285"/>
      <c r="V57" s="286"/>
    </row>
    <row r="58" spans="1:22" ht="14.5" x14ac:dyDescent="0.35">
      <c r="A58" s="132"/>
      <c r="B58" s="132"/>
      <c r="C58" s="132"/>
      <c r="D58" s="132"/>
      <c r="E58" s="132"/>
      <c r="F58" s="132"/>
      <c r="G58" s="132"/>
      <c r="H58" s="132"/>
      <c r="I58" s="132"/>
    </row>
    <row r="59" spans="1:22" ht="14.5" x14ac:dyDescent="0.35">
      <c r="A59" s="132"/>
      <c r="B59" s="132"/>
      <c r="C59" s="132"/>
      <c r="D59" s="132"/>
      <c r="E59" s="132"/>
      <c r="F59" s="132"/>
      <c r="G59" s="132"/>
      <c r="H59" s="132"/>
      <c r="I59" s="132"/>
    </row>
    <row r="60" spans="1:22" ht="17.25" customHeight="1" x14ac:dyDescent="0.35">
      <c r="A60" s="424" t="s">
        <v>699</v>
      </c>
      <c r="B60" s="424"/>
      <c r="C60" s="424"/>
      <c r="D60" s="424"/>
      <c r="E60" s="424"/>
      <c r="F60" s="424"/>
      <c r="G60" s="424"/>
      <c r="H60" s="424"/>
      <c r="I60" s="424"/>
      <c r="J60" s="424"/>
      <c r="K60" s="424"/>
      <c r="L60" s="424"/>
      <c r="M60" s="424"/>
      <c r="N60" s="424"/>
      <c r="O60" s="424"/>
      <c r="P60" s="424"/>
      <c r="Q60" s="424"/>
      <c r="R60" s="241"/>
      <c r="S60" s="287"/>
      <c r="T60" s="287"/>
      <c r="U60" s="287"/>
      <c r="V60" s="287"/>
    </row>
    <row r="61" spans="1:22" ht="12.75" customHeight="1" x14ac:dyDescent="0.35">
      <c r="A61" s="424"/>
      <c r="B61" s="424"/>
      <c r="C61" s="424"/>
      <c r="D61" s="424"/>
      <c r="E61" s="424"/>
      <c r="F61" s="424"/>
      <c r="G61" s="424"/>
      <c r="H61" s="424"/>
      <c r="I61" s="424"/>
      <c r="J61" s="424"/>
      <c r="K61" s="424"/>
      <c r="L61" s="424"/>
      <c r="M61" s="424"/>
      <c r="N61" s="424"/>
      <c r="O61" s="424"/>
      <c r="P61" s="424"/>
      <c r="Q61" s="424"/>
      <c r="R61" s="241"/>
      <c r="S61" s="287"/>
      <c r="T61" s="287"/>
      <c r="U61" s="287"/>
      <c r="V61" s="287"/>
    </row>
    <row r="62" spans="1:22" ht="14.5" x14ac:dyDescent="0.35">
      <c r="A62" s="285"/>
      <c r="B62" s="285"/>
      <c r="C62" s="285"/>
      <c r="D62" s="285"/>
      <c r="E62" s="285"/>
      <c r="F62" s="285"/>
      <c r="G62" s="285"/>
      <c r="H62" s="285"/>
      <c r="I62" s="285"/>
      <c r="J62" s="285"/>
      <c r="K62" s="285"/>
      <c r="L62" s="285"/>
      <c r="M62" s="285"/>
      <c r="N62" s="285"/>
      <c r="O62" s="285"/>
      <c r="P62" s="285"/>
      <c r="Q62" s="285"/>
      <c r="R62" s="285"/>
      <c r="S62" s="285"/>
      <c r="T62" s="285"/>
      <c r="U62" s="285"/>
      <c r="V62" s="285"/>
    </row>
    <row r="63" spans="1:22" ht="22.5" customHeight="1" x14ac:dyDescent="0.35">
      <c r="A63" s="285"/>
      <c r="B63" s="336" t="s">
        <v>277</v>
      </c>
      <c r="C63" s="336"/>
      <c r="D63" s="336"/>
      <c r="E63" s="336"/>
      <c r="F63" s="336"/>
      <c r="G63" s="336"/>
      <c r="H63" s="336"/>
      <c r="I63" s="336"/>
      <c r="J63" s="336"/>
      <c r="K63" s="336"/>
      <c r="L63" s="336"/>
      <c r="M63" s="336"/>
      <c r="N63" s="336"/>
      <c r="O63" s="336"/>
      <c r="P63" s="336"/>
      <c r="Q63" s="336"/>
      <c r="R63" s="336"/>
      <c r="S63" s="336"/>
      <c r="T63" s="336"/>
      <c r="U63" s="336"/>
      <c r="V63" s="336"/>
    </row>
    <row r="64" spans="1:22" ht="14.5" x14ac:dyDescent="0.35">
      <c r="A64" s="285"/>
      <c r="B64" s="285"/>
      <c r="C64" s="285"/>
      <c r="D64" s="285"/>
      <c r="E64" s="285"/>
      <c r="F64" s="313"/>
      <c r="G64" s="313"/>
      <c r="H64" s="313"/>
      <c r="I64" s="313"/>
      <c r="J64" s="132"/>
      <c r="K64" s="132"/>
      <c r="L64" s="132"/>
      <c r="M64" s="132"/>
      <c r="N64" s="132"/>
      <c r="O64" s="132"/>
      <c r="P64" s="132"/>
      <c r="Q64" s="132"/>
      <c r="R64" s="132"/>
      <c r="S64" s="132"/>
      <c r="T64" s="132"/>
      <c r="U64" s="132"/>
      <c r="V64" s="285"/>
    </row>
    <row r="65" spans="1:22" ht="35.25" customHeight="1" x14ac:dyDescent="0.35">
      <c r="A65" s="285"/>
      <c r="B65" s="523" t="s">
        <v>278</v>
      </c>
      <c r="C65" s="523"/>
      <c r="D65" s="337" t="s">
        <v>335</v>
      </c>
      <c r="E65" s="337" t="s">
        <v>388</v>
      </c>
      <c r="F65" s="530" t="s">
        <v>336</v>
      </c>
      <c r="G65" s="530"/>
      <c r="H65" s="530" t="s">
        <v>337</v>
      </c>
      <c r="I65" s="530"/>
      <c r="J65" s="530"/>
      <c r="K65" s="530"/>
      <c r="L65" s="530"/>
      <c r="M65" s="530"/>
      <c r="N65" s="530"/>
      <c r="O65" s="530"/>
      <c r="P65" s="530"/>
      <c r="Q65" s="530"/>
      <c r="R65" s="530"/>
      <c r="S65" s="530"/>
      <c r="T65" s="523" t="s">
        <v>45</v>
      </c>
      <c r="U65" s="523"/>
      <c r="V65" s="338" t="s">
        <v>395</v>
      </c>
    </row>
    <row r="66" spans="1:22" ht="0.75" customHeight="1" x14ac:dyDescent="0.35">
      <c r="A66" s="132"/>
      <c r="B66" s="339"/>
      <c r="C66" s="339"/>
      <c r="D66" s="339"/>
      <c r="E66" s="339"/>
      <c r="F66" s="340"/>
      <c r="G66" s="340"/>
      <c r="H66" s="340"/>
      <c r="I66" s="340"/>
      <c r="J66" s="340"/>
      <c r="K66" s="340"/>
      <c r="L66" s="340"/>
      <c r="M66" s="340"/>
      <c r="N66" s="340"/>
      <c r="O66" s="340"/>
      <c r="P66" s="340"/>
      <c r="Q66" s="340"/>
      <c r="R66" s="340"/>
      <c r="S66" s="340"/>
      <c r="T66" s="339"/>
      <c r="U66" s="339"/>
      <c r="V66" s="132"/>
    </row>
    <row r="67" spans="1:22" ht="58.5" customHeight="1" x14ac:dyDescent="0.35">
      <c r="A67" s="285"/>
      <c r="B67" s="503" t="s">
        <v>321</v>
      </c>
      <c r="C67" s="503"/>
      <c r="D67" s="510" t="s">
        <v>342</v>
      </c>
      <c r="E67" s="341" t="s">
        <v>346</v>
      </c>
      <c r="F67" s="504" t="s">
        <v>30</v>
      </c>
      <c r="G67" s="504"/>
      <c r="H67" s="513" t="s">
        <v>252</v>
      </c>
      <c r="I67" s="513"/>
      <c r="J67" s="513"/>
      <c r="K67" s="513"/>
      <c r="L67" s="513"/>
      <c r="M67" s="513"/>
      <c r="N67" s="513"/>
      <c r="O67" s="513"/>
      <c r="P67" s="513"/>
      <c r="Q67" s="513"/>
      <c r="R67" s="513"/>
      <c r="S67" s="513"/>
      <c r="T67" s="511">
        <v>1</v>
      </c>
      <c r="U67" s="511"/>
      <c r="V67" s="342" t="s">
        <v>393</v>
      </c>
    </row>
    <row r="68" spans="1:22" ht="0.75" customHeight="1" x14ac:dyDescent="0.45">
      <c r="A68" s="289"/>
      <c r="B68" s="502"/>
      <c r="C68" s="502"/>
      <c r="D68" s="510"/>
      <c r="E68" s="343"/>
      <c r="F68" s="505"/>
      <c r="G68" s="505"/>
      <c r="H68" s="512"/>
      <c r="I68" s="512"/>
      <c r="J68" s="512"/>
      <c r="K68" s="512"/>
      <c r="L68" s="512"/>
      <c r="M68" s="512"/>
      <c r="N68" s="512"/>
      <c r="O68" s="512"/>
      <c r="P68" s="512"/>
      <c r="Q68" s="512"/>
      <c r="R68" s="512"/>
      <c r="S68" s="512"/>
      <c r="T68" s="509"/>
      <c r="U68" s="509"/>
      <c r="V68" s="344"/>
    </row>
    <row r="69" spans="1:22" ht="67.5" customHeight="1" x14ac:dyDescent="0.45">
      <c r="A69" s="289"/>
      <c r="B69" s="503" t="s">
        <v>322</v>
      </c>
      <c r="C69" s="503"/>
      <c r="D69" s="510"/>
      <c r="E69" s="341" t="s">
        <v>370</v>
      </c>
      <c r="F69" s="504" t="s">
        <v>280</v>
      </c>
      <c r="G69" s="504"/>
      <c r="H69" s="514" t="s">
        <v>253</v>
      </c>
      <c r="I69" s="514"/>
      <c r="J69" s="514"/>
      <c r="K69" s="514"/>
      <c r="L69" s="514"/>
      <c r="M69" s="514"/>
      <c r="N69" s="514"/>
      <c r="O69" s="514"/>
      <c r="P69" s="514"/>
      <c r="Q69" s="514"/>
      <c r="R69" s="514"/>
      <c r="S69" s="514"/>
      <c r="T69" s="511">
        <v>0.7</v>
      </c>
      <c r="U69" s="511"/>
      <c r="V69" s="342" t="s">
        <v>393</v>
      </c>
    </row>
    <row r="70" spans="1:22" ht="0.75" customHeight="1" x14ac:dyDescent="0.35">
      <c r="A70" s="285"/>
      <c r="B70" s="502"/>
      <c r="C70" s="502"/>
      <c r="D70" s="510"/>
      <c r="E70" s="343"/>
      <c r="F70" s="522"/>
      <c r="G70" s="522"/>
      <c r="H70" s="512"/>
      <c r="I70" s="512"/>
      <c r="J70" s="512"/>
      <c r="K70" s="512"/>
      <c r="L70" s="512"/>
      <c r="M70" s="512"/>
      <c r="N70" s="512"/>
      <c r="O70" s="512"/>
      <c r="P70" s="512"/>
      <c r="Q70" s="512"/>
      <c r="R70" s="512"/>
      <c r="S70" s="512"/>
      <c r="T70" s="521"/>
      <c r="U70" s="521"/>
      <c r="V70" s="344"/>
    </row>
    <row r="71" spans="1:22" ht="31.5" customHeight="1" x14ac:dyDescent="0.35">
      <c r="A71" s="285"/>
      <c r="B71" s="503" t="s">
        <v>323</v>
      </c>
      <c r="C71" s="503"/>
      <c r="D71" s="510"/>
      <c r="E71" s="341" t="s">
        <v>370</v>
      </c>
      <c r="F71" s="504" t="s">
        <v>271</v>
      </c>
      <c r="G71" s="504"/>
      <c r="H71" s="513" t="s">
        <v>254</v>
      </c>
      <c r="I71" s="513"/>
      <c r="J71" s="513"/>
      <c r="K71" s="513"/>
      <c r="L71" s="513"/>
      <c r="M71" s="513"/>
      <c r="N71" s="513"/>
      <c r="O71" s="513"/>
      <c r="P71" s="513"/>
      <c r="Q71" s="513"/>
      <c r="R71" s="513"/>
      <c r="S71" s="513"/>
      <c r="T71" s="511">
        <v>0.85</v>
      </c>
      <c r="U71" s="511"/>
      <c r="V71" s="229" t="s">
        <v>393</v>
      </c>
    </row>
    <row r="72" spans="1:22" ht="0.75" customHeight="1" x14ac:dyDescent="0.35">
      <c r="A72" s="285"/>
      <c r="B72" s="502"/>
      <c r="C72" s="502"/>
      <c r="D72" s="510"/>
      <c r="E72" s="343"/>
      <c r="F72" s="505"/>
      <c r="G72" s="505"/>
      <c r="H72" s="512"/>
      <c r="I72" s="512"/>
      <c r="J72" s="512"/>
      <c r="K72" s="512"/>
      <c r="L72" s="512"/>
      <c r="M72" s="512"/>
      <c r="N72" s="512"/>
      <c r="O72" s="512"/>
      <c r="P72" s="512"/>
      <c r="Q72" s="512"/>
      <c r="R72" s="512"/>
      <c r="S72" s="512"/>
      <c r="T72" s="509">
        <v>0.3</v>
      </c>
      <c r="U72" s="509"/>
      <c r="V72" s="344"/>
    </row>
    <row r="73" spans="1:22" ht="63" customHeight="1" x14ac:dyDescent="0.35">
      <c r="A73" s="323"/>
      <c r="B73" s="503" t="s">
        <v>324</v>
      </c>
      <c r="C73" s="503"/>
      <c r="D73" s="510"/>
      <c r="E73" s="341" t="s">
        <v>370</v>
      </c>
      <c r="F73" s="504" t="s">
        <v>272</v>
      </c>
      <c r="G73" s="504"/>
      <c r="H73" s="513" t="s">
        <v>255</v>
      </c>
      <c r="I73" s="513"/>
      <c r="J73" s="513"/>
      <c r="K73" s="513"/>
      <c r="L73" s="513"/>
      <c r="M73" s="513"/>
      <c r="N73" s="513"/>
      <c r="O73" s="513"/>
      <c r="P73" s="513"/>
      <c r="Q73" s="513"/>
      <c r="R73" s="513"/>
      <c r="S73" s="513"/>
      <c r="T73" s="511">
        <v>0.5</v>
      </c>
      <c r="U73" s="511"/>
      <c r="V73" s="342" t="s">
        <v>393</v>
      </c>
    </row>
    <row r="74" spans="1:22" ht="0.75" customHeight="1" x14ac:dyDescent="0.35">
      <c r="A74" s="323"/>
      <c r="B74" s="502"/>
      <c r="C74" s="502"/>
      <c r="D74" s="345"/>
      <c r="E74" s="345"/>
      <c r="F74" s="505"/>
      <c r="G74" s="505"/>
      <c r="H74" s="512"/>
      <c r="I74" s="512"/>
      <c r="J74" s="512"/>
      <c r="K74" s="512"/>
      <c r="L74" s="512"/>
      <c r="M74" s="512"/>
      <c r="N74" s="512"/>
      <c r="O74" s="512"/>
      <c r="P74" s="512"/>
      <c r="Q74" s="512"/>
      <c r="R74" s="512"/>
      <c r="S74" s="512"/>
      <c r="T74" s="509"/>
      <c r="U74" s="509"/>
      <c r="V74" s="344"/>
    </row>
    <row r="75" spans="1:22" ht="63" customHeight="1" x14ac:dyDescent="0.35">
      <c r="A75" s="323"/>
      <c r="B75" s="503" t="s">
        <v>329</v>
      </c>
      <c r="C75" s="503"/>
      <c r="D75" s="506" t="s">
        <v>341</v>
      </c>
      <c r="E75" s="506"/>
      <c r="F75" s="504" t="s">
        <v>91</v>
      </c>
      <c r="G75" s="504"/>
      <c r="H75" s="513" t="s">
        <v>334</v>
      </c>
      <c r="I75" s="513"/>
      <c r="J75" s="513"/>
      <c r="K75" s="513"/>
      <c r="L75" s="513"/>
      <c r="M75" s="513"/>
      <c r="N75" s="513"/>
      <c r="O75" s="513"/>
      <c r="P75" s="513"/>
      <c r="Q75" s="513"/>
      <c r="R75" s="513"/>
      <c r="S75" s="513"/>
      <c r="T75" s="511">
        <v>0.3</v>
      </c>
      <c r="U75" s="511"/>
      <c r="V75" s="342" t="s">
        <v>393</v>
      </c>
    </row>
    <row r="76" spans="1:22" ht="0.75" customHeight="1" x14ac:dyDescent="0.35">
      <c r="A76" s="323"/>
      <c r="B76" s="502"/>
      <c r="C76" s="502"/>
      <c r="D76" s="345"/>
      <c r="E76" s="345"/>
      <c r="F76" s="505"/>
      <c r="G76" s="505"/>
      <c r="H76" s="512"/>
      <c r="I76" s="512"/>
      <c r="J76" s="512"/>
      <c r="K76" s="512"/>
      <c r="L76" s="512"/>
      <c r="M76" s="512"/>
      <c r="N76" s="512"/>
      <c r="O76" s="512"/>
      <c r="P76" s="512"/>
      <c r="Q76" s="512"/>
      <c r="R76" s="512"/>
      <c r="S76" s="512"/>
      <c r="T76" s="509"/>
      <c r="U76" s="509"/>
      <c r="V76" s="346"/>
    </row>
    <row r="77" spans="1:22" ht="33.75" customHeight="1" x14ac:dyDescent="0.35">
      <c r="A77" s="323"/>
      <c r="B77" s="503" t="s">
        <v>236</v>
      </c>
      <c r="C77" s="503"/>
      <c r="D77" s="506" t="s">
        <v>338</v>
      </c>
      <c r="E77" s="506"/>
      <c r="F77" s="504" t="s">
        <v>101</v>
      </c>
      <c r="G77" s="504"/>
      <c r="H77" s="513" t="s">
        <v>256</v>
      </c>
      <c r="I77" s="513"/>
      <c r="J77" s="513"/>
      <c r="K77" s="513"/>
      <c r="L77" s="513"/>
      <c r="M77" s="513"/>
      <c r="N77" s="513"/>
      <c r="O77" s="513"/>
      <c r="P77" s="513"/>
      <c r="Q77" s="513"/>
      <c r="R77" s="513"/>
      <c r="S77" s="513"/>
      <c r="T77" s="511">
        <v>1</v>
      </c>
      <c r="U77" s="511"/>
      <c r="V77" s="347" t="s">
        <v>393</v>
      </c>
    </row>
    <row r="78" spans="1:22" ht="0.75" customHeight="1" x14ac:dyDescent="0.45">
      <c r="A78" s="328"/>
      <c r="B78" s="502"/>
      <c r="C78" s="502"/>
      <c r="D78" s="348"/>
      <c r="E78" s="348"/>
      <c r="F78" s="505"/>
      <c r="G78" s="505"/>
      <c r="H78" s="512"/>
      <c r="I78" s="512"/>
      <c r="J78" s="512"/>
      <c r="K78" s="512"/>
      <c r="L78" s="512"/>
      <c r="M78" s="512"/>
      <c r="N78" s="512"/>
      <c r="O78" s="512"/>
      <c r="P78" s="512"/>
      <c r="Q78" s="512"/>
      <c r="R78" s="512"/>
      <c r="S78" s="512"/>
      <c r="T78" s="509"/>
      <c r="U78" s="509"/>
      <c r="V78" s="346"/>
    </row>
    <row r="79" spans="1:22" ht="63" customHeight="1" x14ac:dyDescent="0.35">
      <c r="A79" s="285"/>
      <c r="B79" s="503" t="s">
        <v>237</v>
      </c>
      <c r="C79" s="503"/>
      <c r="D79" s="506" t="s">
        <v>339</v>
      </c>
      <c r="E79" s="506"/>
      <c r="F79" s="504" t="s">
        <v>273</v>
      </c>
      <c r="G79" s="504"/>
      <c r="H79" s="513" t="s">
        <v>257</v>
      </c>
      <c r="I79" s="513"/>
      <c r="J79" s="513"/>
      <c r="K79" s="513"/>
      <c r="L79" s="513"/>
      <c r="M79" s="513"/>
      <c r="N79" s="513"/>
      <c r="O79" s="513"/>
      <c r="P79" s="513"/>
      <c r="Q79" s="513"/>
      <c r="R79" s="513"/>
      <c r="S79" s="513"/>
      <c r="T79" s="511">
        <v>0.6</v>
      </c>
      <c r="U79" s="511"/>
      <c r="V79" s="342" t="s">
        <v>393</v>
      </c>
    </row>
    <row r="80" spans="1:22" ht="0.75" customHeight="1" x14ac:dyDescent="0.35">
      <c r="A80" s="285"/>
      <c r="B80" s="502"/>
      <c r="C80" s="502"/>
      <c r="D80" s="348"/>
      <c r="E80" s="348"/>
      <c r="F80" s="505"/>
      <c r="G80" s="505"/>
      <c r="H80" s="512"/>
      <c r="I80" s="512"/>
      <c r="J80" s="512"/>
      <c r="K80" s="512"/>
      <c r="L80" s="512"/>
      <c r="M80" s="512"/>
      <c r="N80" s="512"/>
      <c r="O80" s="512"/>
      <c r="P80" s="512"/>
      <c r="Q80" s="512"/>
      <c r="R80" s="512"/>
      <c r="S80" s="512"/>
      <c r="T80" s="509"/>
      <c r="U80" s="509"/>
      <c r="V80" s="344"/>
    </row>
    <row r="81" spans="1:22" ht="62.25" customHeight="1" x14ac:dyDescent="0.35">
      <c r="A81" s="285"/>
      <c r="B81" s="503" t="s">
        <v>238</v>
      </c>
      <c r="C81" s="503"/>
      <c r="D81" s="506" t="s">
        <v>340</v>
      </c>
      <c r="E81" s="506"/>
      <c r="F81" s="504" t="s">
        <v>274</v>
      </c>
      <c r="G81" s="504"/>
      <c r="H81" s="513" t="s">
        <v>258</v>
      </c>
      <c r="I81" s="513"/>
      <c r="J81" s="513"/>
      <c r="K81" s="513"/>
      <c r="L81" s="513"/>
      <c r="M81" s="513"/>
      <c r="N81" s="513"/>
      <c r="O81" s="513"/>
      <c r="P81" s="513"/>
      <c r="Q81" s="513"/>
      <c r="R81" s="513"/>
      <c r="S81" s="513"/>
      <c r="T81" s="511">
        <v>0.3</v>
      </c>
      <c r="U81" s="511"/>
      <c r="V81" s="342" t="s">
        <v>394</v>
      </c>
    </row>
    <row r="82" spans="1:22" ht="0.75" customHeight="1" x14ac:dyDescent="0.35">
      <c r="A82" s="285"/>
      <c r="B82" s="502"/>
      <c r="C82" s="502"/>
      <c r="D82" s="345"/>
      <c r="E82" s="345"/>
      <c r="F82" s="349"/>
      <c r="G82" s="349"/>
      <c r="H82" s="512"/>
      <c r="I82" s="512"/>
      <c r="J82" s="512"/>
      <c r="K82" s="512"/>
      <c r="L82" s="512"/>
      <c r="M82" s="512"/>
      <c r="N82" s="512"/>
      <c r="O82" s="512"/>
      <c r="P82" s="512"/>
      <c r="Q82" s="512"/>
      <c r="R82" s="512"/>
      <c r="S82" s="512"/>
      <c r="T82" s="509"/>
      <c r="U82" s="509"/>
      <c r="V82" s="344"/>
    </row>
    <row r="83" spans="1:22" ht="66" customHeight="1" x14ac:dyDescent="0.35">
      <c r="A83" s="132"/>
      <c r="B83" s="508" t="s">
        <v>267</v>
      </c>
      <c r="C83" s="508"/>
      <c r="D83" s="510" t="s">
        <v>373</v>
      </c>
      <c r="E83" s="341" t="s">
        <v>368</v>
      </c>
      <c r="F83" s="504" t="s">
        <v>275</v>
      </c>
      <c r="G83" s="504"/>
      <c r="H83" s="404" t="s">
        <v>259</v>
      </c>
      <c r="I83" s="404"/>
      <c r="J83" s="404"/>
      <c r="K83" s="404"/>
      <c r="L83" s="404"/>
      <c r="M83" s="404"/>
      <c r="N83" s="404"/>
      <c r="O83" s="404"/>
      <c r="P83" s="404"/>
      <c r="Q83" s="404"/>
      <c r="R83" s="404"/>
      <c r="S83" s="404"/>
      <c r="T83" s="511">
        <v>0.3</v>
      </c>
      <c r="U83" s="511"/>
      <c r="V83" s="350" t="s">
        <v>394</v>
      </c>
    </row>
    <row r="84" spans="1:22" ht="0.75" customHeight="1" x14ac:dyDescent="0.35">
      <c r="A84" s="132"/>
      <c r="B84" s="502"/>
      <c r="C84" s="502"/>
      <c r="D84" s="510"/>
      <c r="E84" s="343"/>
      <c r="F84" s="351"/>
      <c r="G84" s="351"/>
      <c r="H84" s="512"/>
      <c r="I84" s="512"/>
      <c r="J84" s="512"/>
      <c r="K84" s="512"/>
      <c r="L84" s="512"/>
      <c r="M84" s="512"/>
      <c r="N84" s="512"/>
      <c r="O84" s="512"/>
      <c r="P84" s="512"/>
      <c r="Q84" s="512"/>
      <c r="R84" s="512"/>
      <c r="S84" s="512"/>
      <c r="T84" s="352"/>
      <c r="U84" s="352"/>
      <c r="V84" s="344"/>
    </row>
    <row r="85" spans="1:22" ht="63" customHeight="1" x14ac:dyDescent="0.35">
      <c r="A85" s="132"/>
      <c r="B85" s="508" t="s">
        <v>268</v>
      </c>
      <c r="C85" s="508"/>
      <c r="D85" s="510"/>
      <c r="E85" s="341" t="s">
        <v>369</v>
      </c>
      <c r="F85" s="504" t="s">
        <v>110</v>
      </c>
      <c r="G85" s="504"/>
      <c r="H85" s="404" t="s">
        <v>260</v>
      </c>
      <c r="I85" s="404"/>
      <c r="J85" s="404"/>
      <c r="K85" s="404"/>
      <c r="L85" s="404"/>
      <c r="M85" s="404"/>
      <c r="N85" s="404"/>
      <c r="O85" s="404"/>
      <c r="P85" s="404"/>
      <c r="Q85" s="404"/>
      <c r="R85" s="404"/>
      <c r="S85" s="404"/>
      <c r="T85" s="511">
        <v>0.1</v>
      </c>
      <c r="U85" s="511"/>
      <c r="V85" s="350" t="s">
        <v>394</v>
      </c>
    </row>
    <row r="86" spans="1:22" ht="0.75" customHeight="1" x14ac:dyDescent="0.35">
      <c r="A86" s="132"/>
      <c r="B86" s="502"/>
      <c r="C86" s="502"/>
      <c r="D86" s="510"/>
      <c r="E86" s="343"/>
      <c r="F86" s="505"/>
      <c r="G86" s="505"/>
      <c r="H86" s="512"/>
      <c r="I86" s="512"/>
      <c r="J86" s="512"/>
      <c r="K86" s="512"/>
      <c r="L86" s="512"/>
      <c r="M86" s="512"/>
      <c r="N86" s="512"/>
      <c r="O86" s="512"/>
      <c r="P86" s="512"/>
      <c r="Q86" s="512"/>
      <c r="R86" s="512"/>
      <c r="S86" s="512"/>
      <c r="T86" s="509"/>
      <c r="U86" s="509"/>
      <c r="V86" s="344"/>
    </row>
    <row r="87" spans="1:22" ht="34.5" customHeight="1" x14ac:dyDescent="0.35">
      <c r="A87" s="132"/>
      <c r="B87" s="503" t="s">
        <v>325</v>
      </c>
      <c r="C87" s="503"/>
      <c r="D87" s="510"/>
      <c r="E87" s="341" t="s">
        <v>370</v>
      </c>
      <c r="F87" s="504" t="s">
        <v>112</v>
      </c>
      <c r="G87" s="504"/>
      <c r="H87" s="404" t="s">
        <v>261</v>
      </c>
      <c r="I87" s="404"/>
      <c r="J87" s="404"/>
      <c r="K87" s="404"/>
      <c r="L87" s="404"/>
      <c r="M87" s="404"/>
      <c r="N87" s="404"/>
      <c r="O87" s="404"/>
      <c r="P87" s="404"/>
      <c r="Q87" s="404"/>
      <c r="R87" s="404"/>
      <c r="S87" s="404"/>
      <c r="T87" s="511">
        <v>0.05</v>
      </c>
      <c r="U87" s="511"/>
      <c r="V87" s="350" t="s">
        <v>394</v>
      </c>
    </row>
    <row r="88" spans="1:22" ht="0.75" customHeight="1" x14ac:dyDescent="0.35">
      <c r="A88" s="132"/>
      <c r="B88" s="502"/>
      <c r="C88" s="502"/>
      <c r="D88" s="345"/>
      <c r="E88" s="345"/>
      <c r="F88" s="351"/>
      <c r="G88" s="351"/>
      <c r="H88" s="512"/>
      <c r="I88" s="512"/>
      <c r="J88" s="512"/>
      <c r="K88" s="512"/>
      <c r="L88" s="512"/>
      <c r="M88" s="512"/>
      <c r="N88" s="512"/>
      <c r="O88" s="512"/>
      <c r="P88" s="512"/>
      <c r="Q88" s="512"/>
      <c r="R88" s="512"/>
      <c r="S88" s="512"/>
      <c r="T88" s="509"/>
      <c r="U88" s="509"/>
      <c r="V88" s="344"/>
    </row>
    <row r="89" spans="1:22" ht="33.75" customHeight="1" x14ac:dyDescent="0.35">
      <c r="A89" s="132"/>
      <c r="B89" s="503" t="s">
        <v>167</v>
      </c>
      <c r="C89" s="503"/>
      <c r="D89" s="506" t="s">
        <v>345</v>
      </c>
      <c r="E89" s="506"/>
      <c r="F89" s="504" t="s">
        <v>75</v>
      </c>
      <c r="G89" s="504"/>
      <c r="H89" s="525" t="s">
        <v>75</v>
      </c>
      <c r="I89" s="525"/>
      <c r="J89" s="525"/>
      <c r="K89" s="525"/>
      <c r="L89" s="525"/>
      <c r="M89" s="525"/>
      <c r="N89" s="525"/>
      <c r="O89" s="525"/>
      <c r="P89" s="525"/>
      <c r="Q89" s="525"/>
      <c r="R89" s="525"/>
      <c r="S89" s="525"/>
      <c r="T89" s="511">
        <v>0.3</v>
      </c>
      <c r="U89" s="511"/>
      <c r="V89" s="350" t="s">
        <v>394</v>
      </c>
    </row>
    <row r="90" spans="1:22" ht="0.75" customHeight="1" x14ac:dyDescent="0.35">
      <c r="A90" s="132"/>
      <c r="B90" s="502"/>
      <c r="C90" s="502"/>
      <c r="D90" s="345"/>
      <c r="E90" s="345"/>
      <c r="F90" s="505"/>
      <c r="G90" s="505"/>
      <c r="H90" s="512"/>
      <c r="I90" s="512"/>
      <c r="J90" s="512"/>
      <c r="K90" s="512"/>
      <c r="L90" s="512"/>
      <c r="M90" s="512"/>
      <c r="N90" s="512"/>
      <c r="O90" s="512"/>
      <c r="P90" s="512"/>
      <c r="Q90" s="512"/>
      <c r="R90" s="512"/>
      <c r="S90" s="512"/>
      <c r="T90" s="509">
        <v>0.5</v>
      </c>
      <c r="U90" s="509"/>
      <c r="V90" s="344"/>
    </row>
    <row r="91" spans="1:22" ht="50.25" customHeight="1" x14ac:dyDescent="0.35">
      <c r="A91" s="132"/>
      <c r="B91" s="508" t="s">
        <v>246</v>
      </c>
      <c r="C91" s="508"/>
      <c r="D91" s="510" t="s">
        <v>344</v>
      </c>
      <c r="E91" s="341" t="s">
        <v>371</v>
      </c>
      <c r="F91" s="504" t="s">
        <v>193</v>
      </c>
      <c r="G91" s="504"/>
      <c r="H91" s="404" t="s">
        <v>262</v>
      </c>
      <c r="I91" s="404"/>
      <c r="J91" s="404"/>
      <c r="K91" s="404"/>
      <c r="L91" s="404"/>
      <c r="M91" s="404"/>
      <c r="N91" s="404"/>
      <c r="O91" s="404"/>
      <c r="P91" s="404"/>
      <c r="Q91" s="404"/>
      <c r="R91" s="404"/>
      <c r="S91" s="404"/>
      <c r="T91" s="511">
        <v>0.5</v>
      </c>
      <c r="U91" s="511"/>
      <c r="V91" s="350" t="s">
        <v>393</v>
      </c>
    </row>
    <row r="92" spans="1:22" ht="0.75" customHeight="1" x14ac:dyDescent="0.35">
      <c r="A92" s="132"/>
      <c r="B92" s="502"/>
      <c r="C92" s="502"/>
      <c r="D92" s="510"/>
      <c r="E92" s="343"/>
      <c r="F92" s="505"/>
      <c r="G92" s="505"/>
      <c r="H92" s="512"/>
      <c r="I92" s="512"/>
      <c r="J92" s="512"/>
      <c r="K92" s="512"/>
      <c r="L92" s="512"/>
      <c r="M92" s="512"/>
      <c r="N92" s="512"/>
      <c r="O92" s="512"/>
      <c r="P92" s="512"/>
      <c r="Q92" s="512"/>
      <c r="R92" s="512"/>
      <c r="S92" s="512"/>
      <c r="T92" s="509"/>
      <c r="U92" s="509"/>
      <c r="V92" s="344"/>
    </row>
    <row r="93" spans="1:22" ht="50.25" customHeight="1" x14ac:dyDescent="0.35">
      <c r="A93" s="132"/>
      <c r="B93" s="508" t="s">
        <v>247</v>
      </c>
      <c r="C93" s="508"/>
      <c r="D93" s="510"/>
      <c r="E93" s="341" t="s">
        <v>372</v>
      </c>
      <c r="F93" s="504" t="s">
        <v>276</v>
      </c>
      <c r="G93" s="504"/>
      <c r="H93" s="353" t="s">
        <v>263</v>
      </c>
      <c r="I93" s="354"/>
      <c r="J93" s="191"/>
      <c r="K93" s="191"/>
      <c r="L93" s="191"/>
      <c r="M93" s="191"/>
      <c r="N93" s="191"/>
      <c r="O93" s="191"/>
      <c r="P93" s="191"/>
      <c r="Q93" s="191"/>
      <c r="R93" s="191"/>
      <c r="S93" s="191"/>
      <c r="T93" s="511">
        <v>0.3</v>
      </c>
      <c r="U93" s="511"/>
      <c r="V93" s="350" t="s">
        <v>394</v>
      </c>
    </row>
    <row r="94" spans="1:22" ht="0.75" customHeight="1" x14ac:dyDescent="0.35">
      <c r="A94" s="132"/>
      <c r="B94" s="502"/>
      <c r="C94" s="502"/>
      <c r="D94" s="345"/>
      <c r="E94" s="345" t="s">
        <v>389</v>
      </c>
      <c r="F94" s="505"/>
      <c r="G94" s="505"/>
      <c r="H94" s="512"/>
      <c r="I94" s="512"/>
      <c r="J94" s="512"/>
      <c r="K94" s="512"/>
      <c r="L94" s="512"/>
      <c r="M94" s="512"/>
      <c r="N94" s="512"/>
      <c r="O94" s="512"/>
      <c r="P94" s="512"/>
      <c r="Q94" s="512"/>
      <c r="R94" s="512"/>
      <c r="S94" s="512"/>
      <c r="T94" s="509"/>
      <c r="U94" s="509"/>
      <c r="V94" s="344"/>
    </row>
    <row r="95" spans="1:22" ht="33.75" customHeight="1" x14ac:dyDescent="0.35">
      <c r="A95" s="132"/>
      <c r="B95" s="508" t="s">
        <v>235</v>
      </c>
      <c r="C95" s="508"/>
      <c r="D95" s="506" t="s">
        <v>374</v>
      </c>
      <c r="E95" s="506"/>
      <c r="F95" s="504" t="s">
        <v>327</v>
      </c>
      <c r="G95" s="504"/>
      <c r="H95" s="514" t="s">
        <v>377</v>
      </c>
      <c r="I95" s="514"/>
      <c r="J95" s="514"/>
      <c r="K95" s="514"/>
      <c r="L95" s="514"/>
      <c r="M95" s="514"/>
      <c r="N95" s="514"/>
      <c r="O95" s="514"/>
      <c r="P95" s="514"/>
      <c r="Q95" s="514"/>
      <c r="R95" s="514"/>
      <c r="S95" s="514"/>
      <c r="T95" s="511">
        <v>0.9</v>
      </c>
      <c r="U95" s="511"/>
      <c r="V95" s="350" t="s">
        <v>393</v>
      </c>
    </row>
    <row r="96" spans="1:22" ht="0.75" customHeight="1" x14ac:dyDescent="0.35">
      <c r="A96" s="132"/>
      <c r="B96" s="355"/>
      <c r="C96" s="355"/>
      <c r="D96" s="345"/>
      <c r="E96" s="345"/>
      <c r="F96" s="349"/>
      <c r="G96" s="349"/>
      <c r="H96" s="356"/>
      <c r="I96" s="356"/>
      <c r="J96" s="356"/>
      <c r="K96" s="356"/>
      <c r="L96" s="356"/>
      <c r="M96" s="356"/>
      <c r="N96" s="356"/>
      <c r="O96" s="356"/>
      <c r="P96" s="356"/>
      <c r="Q96" s="356"/>
      <c r="R96" s="356"/>
      <c r="S96" s="356"/>
      <c r="T96" s="357"/>
      <c r="U96" s="357"/>
      <c r="V96" s="344"/>
    </row>
    <row r="97" spans="1:22" ht="33.75" customHeight="1" x14ac:dyDescent="0.35">
      <c r="A97" s="132"/>
      <c r="B97" s="508" t="s">
        <v>168</v>
      </c>
      <c r="C97" s="508"/>
      <c r="D97" s="506" t="s">
        <v>375</v>
      </c>
      <c r="E97" s="506"/>
      <c r="F97" s="504" t="s">
        <v>75</v>
      </c>
      <c r="G97" s="504"/>
      <c r="H97" s="507" t="s">
        <v>75</v>
      </c>
      <c r="I97" s="507"/>
      <c r="J97" s="507"/>
      <c r="K97" s="507"/>
      <c r="L97" s="507"/>
      <c r="M97" s="507"/>
      <c r="N97" s="507"/>
      <c r="O97" s="507"/>
      <c r="P97" s="507"/>
      <c r="Q97" s="507"/>
      <c r="R97" s="507"/>
      <c r="S97" s="507"/>
      <c r="T97" s="511">
        <v>0.3</v>
      </c>
      <c r="U97" s="511"/>
      <c r="V97" s="350" t="s">
        <v>393</v>
      </c>
    </row>
    <row r="98" spans="1:22" ht="0.75" customHeight="1" x14ac:dyDescent="0.35">
      <c r="A98" s="132"/>
      <c r="B98" s="502"/>
      <c r="C98" s="502"/>
      <c r="D98" s="345"/>
      <c r="E98" s="345"/>
      <c r="F98" s="505"/>
      <c r="G98" s="505"/>
      <c r="H98" s="512"/>
      <c r="I98" s="512"/>
      <c r="J98" s="512"/>
      <c r="K98" s="512"/>
      <c r="L98" s="512"/>
      <c r="M98" s="512"/>
      <c r="N98" s="512"/>
      <c r="O98" s="512"/>
      <c r="P98" s="512"/>
      <c r="Q98" s="512"/>
      <c r="R98" s="512"/>
      <c r="S98" s="512"/>
      <c r="T98" s="509"/>
      <c r="U98" s="509"/>
      <c r="V98" s="344"/>
    </row>
    <row r="99" spans="1:22" ht="33.75" customHeight="1" x14ac:dyDescent="0.35">
      <c r="A99" s="132"/>
      <c r="B99" s="503" t="s">
        <v>269</v>
      </c>
      <c r="C99" s="503"/>
      <c r="D99" s="506" t="s">
        <v>376</v>
      </c>
      <c r="E99" s="506"/>
      <c r="F99" s="504" t="s">
        <v>116</v>
      </c>
      <c r="G99" s="504"/>
      <c r="H99" s="404" t="s">
        <v>264</v>
      </c>
      <c r="I99" s="404"/>
      <c r="J99" s="404"/>
      <c r="K99" s="404"/>
      <c r="L99" s="404"/>
      <c r="M99" s="404"/>
      <c r="N99" s="404"/>
      <c r="O99" s="404"/>
      <c r="P99" s="404"/>
      <c r="Q99" s="404"/>
      <c r="R99" s="404"/>
      <c r="S99" s="404"/>
      <c r="T99" s="511">
        <v>1</v>
      </c>
      <c r="U99" s="511"/>
      <c r="V99" s="350" t="s">
        <v>393</v>
      </c>
    </row>
    <row r="100" spans="1:22" ht="0.75" customHeight="1" x14ac:dyDescent="0.35">
      <c r="A100" s="132"/>
      <c r="B100" s="503"/>
      <c r="C100" s="503"/>
      <c r="D100" s="506"/>
      <c r="E100" s="506"/>
      <c r="F100" s="505"/>
      <c r="G100" s="505"/>
      <c r="H100" s="512"/>
      <c r="I100" s="512"/>
      <c r="J100" s="512"/>
      <c r="K100" s="512"/>
      <c r="L100" s="512"/>
      <c r="M100" s="512"/>
      <c r="N100" s="512"/>
      <c r="O100" s="512"/>
      <c r="P100" s="512"/>
      <c r="Q100" s="512"/>
      <c r="R100" s="512"/>
      <c r="S100" s="512"/>
      <c r="T100" s="509"/>
      <c r="U100" s="509"/>
      <c r="V100" s="344"/>
    </row>
    <row r="101" spans="1:22" ht="33.75" customHeight="1" x14ac:dyDescent="0.35">
      <c r="A101" s="132"/>
      <c r="B101" s="503"/>
      <c r="C101" s="503"/>
      <c r="D101" s="506"/>
      <c r="E101" s="506"/>
      <c r="F101" s="504" t="s">
        <v>279</v>
      </c>
      <c r="G101" s="504"/>
      <c r="H101" s="404" t="s">
        <v>265</v>
      </c>
      <c r="I101" s="404"/>
      <c r="J101" s="404"/>
      <c r="K101" s="404"/>
      <c r="L101" s="404"/>
      <c r="M101" s="404"/>
      <c r="N101" s="404"/>
      <c r="O101" s="404"/>
      <c r="P101" s="404"/>
      <c r="Q101" s="404"/>
      <c r="R101" s="404"/>
      <c r="S101" s="404"/>
      <c r="T101" s="511">
        <v>1</v>
      </c>
      <c r="U101" s="511"/>
      <c r="V101" s="350" t="s">
        <v>393</v>
      </c>
    </row>
    <row r="102" spans="1:22" ht="0.75" customHeight="1" x14ac:dyDescent="0.35">
      <c r="A102" s="132"/>
      <c r="B102" s="502"/>
      <c r="C102" s="502"/>
      <c r="D102" s="345"/>
      <c r="E102" s="345"/>
      <c r="F102" s="505"/>
      <c r="G102" s="505"/>
      <c r="H102" s="512"/>
      <c r="I102" s="512"/>
      <c r="J102" s="512"/>
      <c r="K102" s="512"/>
      <c r="L102" s="512"/>
      <c r="M102" s="512"/>
      <c r="N102" s="512"/>
      <c r="O102" s="512"/>
      <c r="P102" s="512"/>
      <c r="Q102" s="512"/>
      <c r="R102" s="512"/>
      <c r="S102" s="512"/>
      <c r="T102" s="509"/>
      <c r="U102" s="509"/>
      <c r="V102" s="344"/>
    </row>
    <row r="103" spans="1:22" ht="65.25" customHeight="1" x14ac:dyDescent="0.35">
      <c r="A103" s="132"/>
      <c r="B103" s="503" t="s">
        <v>270</v>
      </c>
      <c r="C103" s="503"/>
      <c r="D103" s="506" t="s">
        <v>343</v>
      </c>
      <c r="E103" s="506"/>
      <c r="F103" s="504" t="s">
        <v>316</v>
      </c>
      <c r="G103" s="504"/>
      <c r="H103" s="404" t="s">
        <v>266</v>
      </c>
      <c r="I103" s="404"/>
      <c r="J103" s="404"/>
      <c r="K103" s="404"/>
      <c r="L103" s="404"/>
      <c r="M103" s="404"/>
      <c r="N103" s="404"/>
      <c r="O103" s="404"/>
      <c r="P103" s="404"/>
      <c r="Q103" s="404"/>
      <c r="R103" s="404"/>
      <c r="S103" s="404"/>
      <c r="T103" s="511">
        <v>5.3999999999999999E-2</v>
      </c>
      <c r="U103" s="511"/>
      <c r="V103" s="350" t="s">
        <v>394</v>
      </c>
    </row>
    <row r="104" spans="1:22" ht="14.5" x14ac:dyDescent="0.35">
      <c r="A104" s="132"/>
      <c r="B104" s="132"/>
      <c r="C104" s="132"/>
      <c r="D104" s="132"/>
      <c r="E104" s="132"/>
      <c r="F104" s="132"/>
      <c r="G104" s="132"/>
      <c r="H104" s="132"/>
      <c r="I104" s="132"/>
    </row>
    <row r="105" spans="1:22" ht="14.5" x14ac:dyDescent="0.35">
      <c r="A105" s="132"/>
      <c r="B105" s="132"/>
      <c r="C105" s="132"/>
      <c r="D105" s="132"/>
      <c r="E105" s="132"/>
      <c r="F105" s="132"/>
      <c r="G105" s="132"/>
      <c r="H105" s="132"/>
      <c r="I105" s="132"/>
    </row>
    <row r="106" spans="1:22" ht="22.5" customHeight="1" x14ac:dyDescent="0.35">
      <c r="A106" s="132"/>
      <c r="B106" s="336" t="s">
        <v>347</v>
      </c>
      <c r="C106" s="336"/>
      <c r="D106" s="336"/>
      <c r="E106" s="336"/>
      <c r="F106" s="336"/>
      <c r="G106" s="336"/>
      <c r="H106" s="336"/>
      <c r="I106" s="336"/>
      <c r="J106" s="336"/>
      <c r="K106" s="336"/>
      <c r="L106" s="336"/>
      <c r="M106" s="336"/>
      <c r="N106" s="336"/>
      <c r="O106" s="336"/>
      <c r="P106" s="336"/>
      <c r="Q106" s="336"/>
      <c r="R106" s="336"/>
      <c r="S106" s="336"/>
      <c r="T106" s="336"/>
      <c r="U106" s="336"/>
      <c r="V106" s="285"/>
    </row>
    <row r="107" spans="1:22" ht="14.5" x14ac:dyDescent="0.35">
      <c r="A107" s="132"/>
      <c r="B107" s="132"/>
      <c r="C107" s="132"/>
      <c r="D107" s="132"/>
      <c r="E107" s="132"/>
      <c r="F107" s="132"/>
      <c r="G107" s="132"/>
      <c r="H107" s="132"/>
      <c r="I107" s="132"/>
    </row>
    <row r="108" spans="1:22" ht="24" customHeight="1" x14ac:dyDescent="0.35">
      <c r="A108" s="132"/>
      <c r="B108" s="520" t="s">
        <v>390</v>
      </c>
      <c r="C108" s="520"/>
      <c r="D108" s="531" t="s">
        <v>387</v>
      </c>
      <c r="E108" s="531"/>
      <c r="F108" s="531"/>
      <c r="G108" s="531"/>
      <c r="H108" s="531"/>
      <c r="I108" s="531"/>
      <c r="J108" s="531"/>
      <c r="K108" s="531"/>
      <c r="L108" s="531"/>
      <c r="M108" s="531"/>
      <c r="N108" s="531"/>
      <c r="O108" s="531"/>
      <c r="P108" s="531"/>
      <c r="Q108" s="531"/>
      <c r="R108" s="531"/>
      <c r="S108" s="531"/>
    </row>
    <row r="109" spans="1:22" ht="0.75" customHeight="1" x14ac:dyDescent="0.35">
      <c r="A109" s="132"/>
      <c r="B109" s="132"/>
      <c r="C109" s="132"/>
      <c r="D109" s="132"/>
      <c r="E109" s="132"/>
      <c r="F109" s="132"/>
      <c r="G109" s="132"/>
      <c r="H109" s="132"/>
      <c r="I109" s="132"/>
    </row>
    <row r="110" spans="1:22" ht="22.5" customHeight="1" x14ac:dyDescent="0.35">
      <c r="A110" s="132"/>
      <c r="B110" s="132"/>
      <c r="C110" s="132"/>
      <c r="D110" s="132"/>
      <c r="E110" s="132"/>
      <c r="F110" s="132"/>
      <c r="G110" s="132"/>
      <c r="H110" s="132"/>
      <c r="I110" s="132"/>
    </row>
    <row r="111" spans="1:22" ht="32.25" customHeight="1" x14ac:dyDescent="0.35">
      <c r="A111" s="132"/>
      <c r="B111" s="520" t="s">
        <v>348</v>
      </c>
      <c r="C111" s="520"/>
      <c r="D111" s="528" t="s">
        <v>358</v>
      </c>
      <c r="E111" s="528"/>
      <c r="F111" s="528"/>
      <c r="G111" s="528"/>
      <c r="H111" s="528"/>
      <c r="I111" s="528"/>
      <c r="J111" s="528"/>
      <c r="K111" s="528"/>
      <c r="L111" s="528"/>
      <c r="M111" s="528"/>
      <c r="N111" s="528"/>
      <c r="O111" s="528"/>
      <c r="P111" s="528"/>
      <c r="Q111" s="528"/>
      <c r="R111" s="528"/>
      <c r="S111" s="528"/>
      <c r="T111" s="358"/>
    </row>
    <row r="112" spans="1:22" ht="0.75" customHeight="1" x14ac:dyDescent="0.35">
      <c r="A112" s="132"/>
      <c r="B112" s="359"/>
      <c r="C112" s="359"/>
      <c r="D112" s="360"/>
      <c r="E112" s="360"/>
      <c r="F112" s="360"/>
      <c r="G112" s="360"/>
      <c r="H112" s="360"/>
      <c r="I112" s="360"/>
      <c r="J112" s="360"/>
      <c r="K112" s="360"/>
      <c r="L112" s="360"/>
      <c r="M112" s="360"/>
      <c r="N112" s="360"/>
      <c r="O112" s="360"/>
      <c r="P112" s="360"/>
      <c r="Q112" s="360"/>
      <c r="R112" s="360"/>
      <c r="S112" s="360"/>
      <c r="T112" s="358"/>
    </row>
    <row r="113" spans="1:20" ht="15.75" customHeight="1" x14ac:dyDescent="0.35">
      <c r="A113" s="132"/>
      <c r="B113" s="520" t="s">
        <v>506</v>
      </c>
      <c r="C113" s="520"/>
      <c r="D113" s="534" t="s">
        <v>507</v>
      </c>
      <c r="E113" s="534"/>
      <c r="F113" s="534"/>
      <c r="G113" s="534"/>
      <c r="H113" s="534"/>
      <c r="I113" s="534"/>
      <c r="J113" s="534"/>
      <c r="K113" s="534"/>
      <c r="L113" s="534"/>
      <c r="M113" s="534"/>
      <c r="N113" s="534"/>
      <c r="O113" s="534"/>
      <c r="P113" s="534"/>
      <c r="Q113" s="534"/>
      <c r="R113" s="534"/>
      <c r="S113" s="534"/>
      <c r="T113" s="358"/>
    </row>
    <row r="114" spans="1:20" ht="0.75" customHeight="1" x14ac:dyDescent="0.35">
      <c r="A114" s="132"/>
      <c r="B114" s="361"/>
      <c r="C114" s="361"/>
      <c r="D114" s="292"/>
      <c r="E114" s="292"/>
      <c r="F114" s="293"/>
      <c r="G114" s="293"/>
      <c r="H114" s="293"/>
      <c r="I114" s="293"/>
      <c r="J114" s="287"/>
      <c r="K114" s="287"/>
      <c r="L114" s="287"/>
      <c r="M114" s="287"/>
      <c r="N114" s="293"/>
      <c r="O114" s="293"/>
      <c r="P114" s="293"/>
      <c r="Q114" s="293"/>
      <c r="R114" s="293"/>
      <c r="S114" s="293"/>
      <c r="T114" s="286"/>
    </row>
    <row r="115" spans="1:20" ht="14.5" x14ac:dyDescent="0.35">
      <c r="A115" s="132"/>
      <c r="B115" s="520" t="s">
        <v>349</v>
      </c>
      <c r="C115" s="520"/>
      <c r="D115" s="294" t="s">
        <v>359</v>
      </c>
      <c r="E115" s="294"/>
      <c r="F115" s="286"/>
      <c r="G115" s="294"/>
      <c r="H115" s="294"/>
      <c r="I115" s="294"/>
      <c r="J115" s="294"/>
      <c r="K115" s="294"/>
      <c r="L115" s="294"/>
      <c r="M115" s="294"/>
      <c r="N115" s="294"/>
      <c r="O115" s="294"/>
      <c r="P115" s="294"/>
      <c r="Q115" s="294"/>
      <c r="R115" s="294"/>
      <c r="S115" s="294"/>
      <c r="T115" s="286"/>
    </row>
    <row r="116" spans="1:20" ht="0.75" customHeight="1" x14ac:dyDescent="0.35">
      <c r="A116" s="132"/>
      <c r="B116" s="362"/>
      <c r="C116" s="362"/>
      <c r="D116" s="296"/>
      <c r="E116" s="296"/>
      <c r="F116" s="293"/>
      <c r="G116" s="293"/>
      <c r="H116" s="293"/>
      <c r="I116" s="293"/>
      <c r="J116" s="287"/>
      <c r="K116" s="287"/>
      <c r="L116" s="287"/>
      <c r="M116" s="287"/>
      <c r="N116" s="293"/>
      <c r="O116" s="293"/>
      <c r="P116" s="293"/>
      <c r="Q116" s="293"/>
      <c r="R116" s="293"/>
      <c r="S116" s="293"/>
      <c r="T116" s="286"/>
    </row>
    <row r="117" spans="1:20" ht="14.5" x14ac:dyDescent="0.35">
      <c r="A117" s="132"/>
      <c r="B117" s="520" t="s">
        <v>350</v>
      </c>
      <c r="C117" s="520"/>
      <c r="D117" s="526" t="s">
        <v>360</v>
      </c>
      <c r="E117" s="526"/>
      <c r="F117" s="526"/>
      <c r="G117" s="526"/>
      <c r="H117" s="526"/>
      <c r="I117" s="526"/>
      <c r="J117" s="526"/>
      <c r="K117" s="526"/>
      <c r="L117" s="526"/>
      <c r="M117" s="526"/>
      <c r="N117" s="526"/>
      <c r="O117" s="526"/>
      <c r="P117" s="526"/>
      <c r="Q117" s="526"/>
      <c r="R117" s="526"/>
      <c r="S117" s="526"/>
      <c r="T117" s="297"/>
    </row>
    <row r="118" spans="1:20" ht="0.75" customHeight="1" x14ac:dyDescent="0.35">
      <c r="A118" s="132"/>
      <c r="B118" s="361"/>
      <c r="C118" s="361"/>
      <c r="D118" s="292"/>
      <c r="E118" s="292"/>
      <c r="F118" s="293"/>
      <c r="G118" s="293"/>
      <c r="H118" s="293"/>
      <c r="I118" s="293"/>
      <c r="J118" s="287"/>
      <c r="K118" s="287"/>
      <c r="L118" s="287"/>
      <c r="M118" s="287"/>
      <c r="N118" s="293"/>
      <c r="O118" s="293"/>
      <c r="P118" s="293"/>
      <c r="Q118" s="293"/>
      <c r="R118" s="293"/>
      <c r="S118" s="293"/>
      <c r="T118" s="286"/>
    </row>
    <row r="119" spans="1:20" ht="14.5" x14ac:dyDescent="0.35">
      <c r="A119" s="132"/>
      <c r="B119" s="520" t="s">
        <v>357</v>
      </c>
      <c r="C119" s="520"/>
      <c r="D119" s="527" t="s">
        <v>366</v>
      </c>
      <c r="E119" s="527"/>
      <c r="F119" s="527"/>
      <c r="G119" s="527"/>
      <c r="H119" s="527"/>
      <c r="I119" s="527"/>
      <c r="J119" s="527"/>
      <c r="K119" s="527"/>
      <c r="L119" s="527"/>
      <c r="M119" s="527"/>
      <c r="N119" s="527"/>
      <c r="O119" s="527"/>
      <c r="P119" s="527"/>
      <c r="Q119" s="527"/>
      <c r="R119" s="527"/>
      <c r="S119" s="527"/>
      <c r="T119" s="286"/>
    </row>
    <row r="120" spans="1:20" ht="0.75" customHeight="1" x14ac:dyDescent="0.35">
      <c r="A120" s="132"/>
      <c r="B120" s="361"/>
      <c r="C120" s="361"/>
      <c r="D120" s="292"/>
      <c r="E120" s="292"/>
      <c r="F120" s="293"/>
      <c r="G120" s="293"/>
      <c r="H120" s="293"/>
      <c r="I120" s="293"/>
      <c r="J120" s="287"/>
      <c r="K120" s="287"/>
      <c r="L120" s="287"/>
      <c r="M120" s="287"/>
      <c r="N120" s="293"/>
      <c r="O120" s="293"/>
      <c r="P120" s="293"/>
      <c r="Q120" s="293"/>
      <c r="R120" s="293"/>
      <c r="S120" s="293"/>
      <c r="T120" s="286"/>
    </row>
    <row r="121" spans="1:20" ht="14.5" x14ac:dyDescent="0.35">
      <c r="A121" s="132"/>
      <c r="B121" s="520" t="s">
        <v>351</v>
      </c>
      <c r="C121" s="520"/>
      <c r="D121" s="527" t="s">
        <v>361</v>
      </c>
      <c r="E121" s="527"/>
      <c r="F121" s="527"/>
      <c r="G121" s="527"/>
      <c r="H121" s="527"/>
      <c r="I121" s="527"/>
      <c r="J121" s="527"/>
      <c r="K121" s="527"/>
      <c r="L121" s="527"/>
      <c r="M121" s="527"/>
      <c r="N121" s="527"/>
      <c r="O121" s="527"/>
      <c r="P121" s="527"/>
      <c r="Q121" s="527"/>
      <c r="R121" s="527"/>
      <c r="S121" s="527"/>
      <c r="T121" s="527"/>
    </row>
    <row r="122" spans="1:20" ht="0.75" customHeight="1" x14ac:dyDescent="0.35">
      <c r="A122" s="132"/>
      <c r="B122" s="361"/>
      <c r="C122" s="361"/>
      <c r="D122" s="292"/>
      <c r="E122" s="292"/>
      <c r="F122" s="293"/>
      <c r="G122" s="293"/>
      <c r="H122" s="293"/>
      <c r="I122" s="293"/>
      <c r="J122" s="287"/>
      <c r="K122" s="287"/>
      <c r="L122" s="287"/>
      <c r="M122" s="287"/>
      <c r="N122" s="293"/>
      <c r="O122" s="293"/>
      <c r="P122" s="293"/>
      <c r="Q122" s="293"/>
      <c r="R122" s="293"/>
      <c r="S122" s="293"/>
    </row>
    <row r="123" spans="1:20" ht="32.25" customHeight="1" x14ac:dyDescent="0.35">
      <c r="A123" s="132"/>
      <c r="B123" s="520" t="s">
        <v>352</v>
      </c>
      <c r="C123" s="520"/>
      <c r="D123" s="528" t="s">
        <v>362</v>
      </c>
      <c r="E123" s="528"/>
      <c r="F123" s="528"/>
      <c r="G123" s="528"/>
      <c r="H123" s="528"/>
      <c r="I123" s="528"/>
      <c r="J123" s="528"/>
      <c r="K123" s="528"/>
      <c r="L123" s="528"/>
      <c r="M123" s="528"/>
      <c r="N123" s="528"/>
      <c r="O123" s="528"/>
      <c r="P123" s="528"/>
      <c r="Q123" s="528"/>
      <c r="R123" s="528"/>
      <c r="S123" s="528"/>
      <c r="T123" s="358"/>
    </row>
    <row r="124" spans="1:20" ht="0.75" customHeight="1" x14ac:dyDescent="0.35">
      <c r="A124" s="132"/>
      <c r="B124" s="361"/>
      <c r="C124" s="361"/>
      <c r="D124" s="292"/>
      <c r="E124" s="292"/>
      <c r="F124" s="293"/>
      <c r="G124" s="293"/>
      <c r="H124" s="293"/>
      <c r="I124" s="293"/>
      <c r="J124" s="287"/>
      <c r="K124" s="287"/>
      <c r="L124" s="287"/>
      <c r="M124" s="287"/>
      <c r="N124" s="293"/>
      <c r="O124" s="293"/>
      <c r="P124" s="293"/>
      <c r="Q124" s="293"/>
      <c r="R124" s="293"/>
      <c r="S124" s="293"/>
      <c r="T124" s="286"/>
    </row>
    <row r="125" spans="1:20" ht="66.75" customHeight="1" x14ac:dyDescent="0.35">
      <c r="A125" s="132"/>
      <c r="B125" s="520" t="s">
        <v>353</v>
      </c>
      <c r="C125" s="520"/>
      <c r="D125" s="533" t="s">
        <v>363</v>
      </c>
      <c r="E125" s="533"/>
      <c r="F125" s="533"/>
      <c r="G125" s="533"/>
      <c r="H125" s="533"/>
      <c r="I125" s="533"/>
      <c r="J125" s="533"/>
      <c r="K125" s="533"/>
      <c r="L125" s="533"/>
      <c r="M125" s="533"/>
      <c r="N125" s="533"/>
      <c r="O125" s="533"/>
      <c r="P125" s="533"/>
      <c r="Q125" s="533"/>
      <c r="R125" s="533"/>
      <c r="S125" s="533"/>
      <c r="T125" s="286"/>
    </row>
    <row r="126" spans="1:20" ht="0.75" customHeight="1" x14ac:dyDescent="0.35">
      <c r="A126" s="132"/>
      <c r="B126" s="361"/>
      <c r="C126" s="361"/>
      <c r="D126" s="296"/>
      <c r="E126" s="296"/>
      <c r="F126" s="293"/>
      <c r="G126" s="293"/>
      <c r="H126" s="293"/>
      <c r="I126" s="293"/>
      <c r="J126" s="287"/>
      <c r="K126" s="287"/>
      <c r="L126" s="287"/>
      <c r="M126" s="287"/>
      <c r="N126" s="293"/>
      <c r="O126" s="293"/>
      <c r="P126" s="293"/>
      <c r="Q126" s="293"/>
      <c r="R126" s="293"/>
      <c r="S126" s="293"/>
      <c r="T126" s="286"/>
    </row>
    <row r="127" spans="1:20" ht="32.25" customHeight="1" x14ac:dyDescent="0.35">
      <c r="A127" s="132"/>
      <c r="B127" s="520" t="s">
        <v>354</v>
      </c>
      <c r="C127" s="520"/>
      <c r="D127" s="532" t="s">
        <v>364</v>
      </c>
      <c r="E127" s="532"/>
      <c r="F127" s="532"/>
      <c r="G127" s="532"/>
      <c r="H127" s="532"/>
      <c r="I127" s="532"/>
      <c r="J127" s="532"/>
      <c r="K127" s="532"/>
      <c r="L127" s="532"/>
      <c r="M127" s="532"/>
      <c r="N127" s="532"/>
      <c r="O127" s="532"/>
      <c r="P127" s="532"/>
      <c r="Q127" s="532"/>
      <c r="R127" s="532"/>
      <c r="S127" s="532"/>
      <c r="T127" s="297"/>
    </row>
    <row r="128" spans="1:20" ht="0.75" customHeight="1" x14ac:dyDescent="0.35">
      <c r="A128" s="132"/>
      <c r="B128" s="362"/>
      <c r="C128" s="362"/>
      <c r="D128" s="292"/>
      <c r="E128" s="292"/>
      <c r="F128" s="293"/>
      <c r="G128" s="293"/>
      <c r="H128" s="293"/>
      <c r="I128" s="293"/>
      <c r="J128" s="287"/>
      <c r="K128" s="287"/>
      <c r="L128" s="287"/>
      <c r="M128" s="287"/>
      <c r="N128" s="293"/>
      <c r="O128" s="293"/>
      <c r="P128" s="293"/>
      <c r="Q128" s="293"/>
      <c r="R128" s="293"/>
      <c r="S128" s="293"/>
      <c r="T128" s="286"/>
    </row>
    <row r="129" spans="1:20" ht="14.5" x14ac:dyDescent="0.35">
      <c r="A129" s="132"/>
      <c r="B129" s="520" t="s">
        <v>355</v>
      </c>
      <c r="C129" s="520"/>
      <c r="D129" s="527" t="s">
        <v>365</v>
      </c>
      <c r="E129" s="527"/>
      <c r="F129" s="527"/>
      <c r="G129" s="527"/>
      <c r="H129" s="527"/>
      <c r="I129" s="527"/>
      <c r="J129" s="527"/>
      <c r="K129" s="527"/>
      <c r="L129" s="527"/>
      <c r="M129" s="527"/>
      <c r="N129" s="527"/>
      <c r="O129" s="527"/>
      <c r="P129" s="527"/>
      <c r="Q129" s="527"/>
      <c r="R129" s="527"/>
      <c r="S129" s="527"/>
      <c r="T129" s="286"/>
    </row>
    <row r="130" spans="1:20" ht="0.75" customHeight="1" x14ac:dyDescent="0.35">
      <c r="A130" s="132"/>
      <c r="B130" s="361"/>
      <c r="C130" s="361"/>
      <c r="D130" s="292"/>
      <c r="E130" s="292"/>
      <c r="F130" s="293"/>
      <c r="G130" s="293"/>
      <c r="H130" s="293"/>
      <c r="I130" s="293"/>
      <c r="J130" s="287"/>
      <c r="K130" s="287"/>
      <c r="L130" s="287"/>
      <c r="M130" s="287"/>
      <c r="N130" s="293"/>
      <c r="O130" s="293"/>
      <c r="P130" s="293"/>
      <c r="Q130" s="293"/>
      <c r="R130" s="293"/>
      <c r="S130" s="293"/>
      <c r="T130" s="286"/>
    </row>
    <row r="131" spans="1:20" ht="32.25" customHeight="1" x14ac:dyDescent="0.35">
      <c r="A131" s="132"/>
      <c r="B131" s="500" t="s">
        <v>356</v>
      </c>
      <c r="C131" s="500"/>
      <c r="D131" s="501" t="s">
        <v>367</v>
      </c>
      <c r="E131" s="501"/>
      <c r="F131" s="501"/>
      <c r="G131" s="501"/>
      <c r="H131" s="501"/>
      <c r="I131" s="501"/>
      <c r="J131" s="501"/>
      <c r="K131" s="501"/>
      <c r="L131" s="501"/>
      <c r="M131" s="501"/>
      <c r="N131" s="501"/>
      <c r="O131" s="501"/>
      <c r="P131" s="501"/>
      <c r="Q131" s="501"/>
      <c r="R131" s="501"/>
      <c r="S131" s="501"/>
      <c r="T131" s="294"/>
    </row>
    <row r="132" spans="1:20" ht="0.75" customHeight="1" x14ac:dyDescent="0.35">
      <c r="A132" s="132"/>
      <c r="B132" s="361"/>
      <c r="C132" s="361"/>
      <c r="D132" s="292"/>
      <c r="E132" s="292"/>
      <c r="F132" s="293"/>
      <c r="G132" s="293"/>
      <c r="H132" s="293"/>
      <c r="I132" s="293"/>
      <c r="J132" s="287"/>
      <c r="K132" s="287"/>
      <c r="L132" s="287"/>
      <c r="M132" s="287"/>
      <c r="N132" s="293"/>
      <c r="O132" s="293"/>
      <c r="P132" s="293"/>
      <c r="Q132" s="293"/>
      <c r="R132" s="293"/>
      <c r="S132" s="293"/>
    </row>
    <row r="133" spans="1:20" ht="16.5" customHeight="1" x14ac:dyDescent="0.35">
      <c r="A133" s="132"/>
      <c r="B133" s="500" t="s">
        <v>522</v>
      </c>
      <c r="C133" s="500"/>
      <c r="D133" s="501" t="s">
        <v>520</v>
      </c>
      <c r="E133" s="501"/>
      <c r="F133" s="501"/>
      <c r="G133" s="501"/>
      <c r="H133" s="501"/>
      <c r="I133" s="501"/>
      <c r="J133" s="501"/>
      <c r="K133" s="501"/>
      <c r="L133" s="501"/>
      <c r="M133" s="501"/>
      <c r="N133" s="501"/>
      <c r="O133" s="501"/>
      <c r="P133" s="501"/>
      <c r="Q133" s="501"/>
      <c r="R133" s="501"/>
      <c r="S133" s="501"/>
    </row>
    <row r="134" spans="1:20" ht="0.75" customHeight="1" x14ac:dyDescent="0.35">
      <c r="A134" s="132"/>
      <c r="B134" s="361"/>
      <c r="C134" s="361"/>
      <c r="D134" s="292"/>
      <c r="E134" s="292"/>
      <c r="F134" s="293"/>
      <c r="G134" s="293"/>
      <c r="H134" s="293"/>
      <c r="I134" s="293"/>
      <c r="J134" s="287"/>
      <c r="K134" s="287"/>
      <c r="L134" s="287"/>
      <c r="M134" s="287"/>
      <c r="N134" s="293"/>
      <c r="O134" s="293"/>
      <c r="P134" s="293"/>
      <c r="Q134" s="293"/>
      <c r="R134" s="293"/>
      <c r="S134" s="293"/>
    </row>
    <row r="135" spans="1:20" ht="14.5" x14ac:dyDescent="0.35">
      <c r="A135" s="132"/>
      <c r="B135" s="500" t="s">
        <v>521</v>
      </c>
      <c r="C135" s="500"/>
      <c r="D135" s="501" t="s">
        <v>523</v>
      </c>
      <c r="E135" s="501"/>
      <c r="F135" s="501"/>
      <c r="G135" s="501"/>
      <c r="H135" s="501"/>
      <c r="I135" s="501"/>
      <c r="J135" s="501"/>
      <c r="K135" s="501"/>
      <c r="L135" s="501"/>
      <c r="M135" s="501"/>
      <c r="N135" s="501"/>
      <c r="O135" s="501"/>
      <c r="P135" s="501"/>
      <c r="Q135" s="501"/>
      <c r="R135" s="501"/>
      <c r="S135" s="501"/>
    </row>
    <row r="136" spans="1:20" ht="14.5" x14ac:dyDescent="0.35">
      <c r="A136" s="132"/>
      <c r="B136" s="132"/>
      <c r="C136" s="132"/>
      <c r="D136" s="132"/>
      <c r="E136" s="132"/>
      <c r="F136" s="132"/>
      <c r="G136" s="132"/>
      <c r="H136" s="132"/>
      <c r="I136" s="132"/>
    </row>
    <row r="137" spans="1:20" ht="14.5" x14ac:dyDescent="0.35">
      <c r="A137" s="132"/>
      <c r="B137" s="132"/>
      <c r="C137" s="132"/>
      <c r="D137" s="132"/>
      <c r="E137" s="132"/>
      <c r="F137" s="132"/>
      <c r="G137" s="132"/>
      <c r="H137" s="132"/>
      <c r="I137" s="132"/>
    </row>
    <row r="138" spans="1:20" ht="14.5" x14ac:dyDescent="0.35">
      <c r="A138" s="132"/>
      <c r="B138" s="132"/>
      <c r="C138" s="132"/>
      <c r="D138" s="132"/>
      <c r="E138" s="132"/>
      <c r="F138" s="132"/>
      <c r="G138" s="132"/>
      <c r="H138" s="132"/>
      <c r="I138" s="132"/>
    </row>
    <row r="139" spans="1:20" ht="14.5" x14ac:dyDescent="0.35">
      <c r="A139" s="132"/>
      <c r="B139" s="132"/>
      <c r="C139" s="132"/>
      <c r="D139" s="132"/>
      <c r="E139" s="132"/>
      <c r="F139" s="132"/>
      <c r="G139" s="132"/>
      <c r="H139" s="132"/>
      <c r="I139" s="132"/>
    </row>
    <row r="140" spans="1:20" ht="14.5" x14ac:dyDescent="0.35">
      <c r="A140" s="132"/>
      <c r="B140" s="132"/>
      <c r="C140" s="132"/>
      <c r="D140" s="132"/>
      <c r="E140" s="132"/>
      <c r="F140" s="132"/>
      <c r="G140" s="132"/>
      <c r="H140" s="132"/>
      <c r="I140" s="132"/>
    </row>
    <row r="141" spans="1:20" ht="14.5" x14ac:dyDescent="0.35">
      <c r="A141" s="132"/>
      <c r="B141" s="132"/>
      <c r="C141" s="132"/>
      <c r="D141" s="132"/>
      <c r="E141" s="132"/>
      <c r="F141" s="132"/>
      <c r="G141" s="132"/>
      <c r="H141" s="132"/>
      <c r="I141" s="132"/>
    </row>
    <row r="142" spans="1:20" ht="14.5" x14ac:dyDescent="0.35">
      <c r="A142" s="132"/>
      <c r="B142" s="132"/>
      <c r="C142" s="132"/>
      <c r="D142" s="132"/>
      <c r="E142" s="132"/>
      <c r="F142" s="132"/>
      <c r="G142" s="132"/>
      <c r="H142" s="132"/>
      <c r="I142" s="132"/>
    </row>
    <row r="143" spans="1:20" ht="14.5" x14ac:dyDescent="0.35">
      <c r="A143" s="132"/>
      <c r="B143" s="132"/>
      <c r="C143" s="132"/>
      <c r="D143" s="132"/>
      <c r="E143" s="132"/>
      <c r="F143" s="132"/>
      <c r="G143" s="132"/>
      <c r="H143" s="132"/>
      <c r="I143" s="132"/>
    </row>
    <row r="144" spans="1:20" ht="14.5" x14ac:dyDescent="0.35">
      <c r="A144" s="132"/>
      <c r="B144" s="132"/>
      <c r="C144" s="132"/>
      <c r="D144" s="132"/>
      <c r="E144" s="132"/>
      <c r="F144" s="132"/>
      <c r="G144" s="132"/>
      <c r="H144" s="132"/>
      <c r="I144" s="132"/>
    </row>
    <row r="145" spans="1:9" ht="14.5" x14ac:dyDescent="0.35">
      <c r="A145" s="132"/>
      <c r="B145" s="132"/>
      <c r="C145" s="132"/>
      <c r="D145" s="132"/>
      <c r="E145" s="132"/>
      <c r="F145" s="132"/>
      <c r="G145" s="132"/>
      <c r="H145" s="132"/>
      <c r="I145" s="132"/>
    </row>
    <row r="146" spans="1:9" ht="14.5" x14ac:dyDescent="0.35">
      <c r="A146" s="132"/>
      <c r="B146" s="132"/>
      <c r="C146" s="132"/>
      <c r="D146" s="132"/>
      <c r="E146" s="132"/>
      <c r="F146" s="132"/>
      <c r="G146" s="132"/>
      <c r="H146" s="132"/>
      <c r="I146" s="132"/>
    </row>
    <row r="147" spans="1:9" ht="14.5" x14ac:dyDescent="0.35">
      <c r="A147" s="132"/>
      <c r="B147" s="132"/>
      <c r="C147" s="132"/>
      <c r="D147" s="132"/>
      <c r="E147" s="132"/>
      <c r="F147" s="132"/>
      <c r="G147" s="132"/>
      <c r="H147" s="132"/>
      <c r="I147" s="132"/>
    </row>
    <row r="148" spans="1:9" ht="14.5" x14ac:dyDescent="0.35">
      <c r="A148" s="132"/>
      <c r="B148" s="132"/>
      <c r="C148" s="132"/>
      <c r="D148" s="132"/>
      <c r="E148" s="132"/>
      <c r="F148" s="132"/>
      <c r="G148" s="132"/>
      <c r="H148" s="132"/>
      <c r="I148" s="132"/>
    </row>
    <row r="149" spans="1:9" ht="14.5" x14ac:dyDescent="0.35">
      <c r="A149" s="132"/>
      <c r="B149" s="132"/>
      <c r="C149" s="132"/>
      <c r="D149" s="132"/>
      <c r="E149" s="132"/>
      <c r="F149" s="132"/>
      <c r="G149" s="132"/>
      <c r="H149" s="132"/>
      <c r="I149" s="132"/>
    </row>
    <row r="150" spans="1:9" ht="14.5" x14ac:dyDescent="0.35">
      <c r="A150" s="132"/>
      <c r="B150" s="132"/>
      <c r="C150" s="132"/>
      <c r="D150" s="132"/>
      <c r="E150" s="132"/>
      <c r="F150" s="132"/>
      <c r="G150" s="132"/>
      <c r="H150" s="132"/>
      <c r="I150" s="132"/>
    </row>
    <row r="151" spans="1:9" ht="14.5" x14ac:dyDescent="0.35">
      <c r="A151" s="132"/>
      <c r="B151" s="132"/>
      <c r="C151" s="132"/>
      <c r="D151" s="132"/>
      <c r="E151" s="132"/>
      <c r="F151" s="132"/>
      <c r="G151" s="132"/>
      <c r="H151" s="132"/>
      <c r="I151" s="132"/>
    </row>
    <row r="152" spans="1:9" ht="14.5" x14ac:dyDescent="0.35">
      <c r="A152" s="132"/>
      <c r="B152" s="132"/>
      <c r="C152" s="132"/>
      <c r="D152" s="132"/>
      <c r="E152" s="132"/>
      <c r="F152" s="132"/>
      <c r="G152" s="132"/>
      <c r="H152" s="132"/>
      <c r="I152" s="132"/>
    </row>
    <row r="153" spans="1:9" ht="14.5" x14ac:dyDescent="0.35">
      <c r="A153" s="132"/>
      <c r="B153" s="132"/>
      <c r="C153" s="132"/>
      <c r="D153" s="132"/>
      <c r="E153" s="132"/>
      <c r="F153" s="132"/>
      <c r="G153" s="132"/>
      <c r="H153" s="132"/>
      <c r="I153" s="132"/>
    </row>
    <row r="154" spans="1:9" ht="14.5" x14ac:dyDescent="0.35">
      <c r="A154" s="132"/>
      <c r="B154" s="132"/>
      <c r="C154" s="132"/>
      <c r="D154" s="132"/>
      <c r="E154" s="132"/>
      <c r="F154" s="132"/>
      <c r="G154" s="132"/>
      <c r="H154" s="132"/>
      <c r="I154" s="132"/>
    </row>
    <row r="155" spans="1:9" ht="14.5" x14ac:dyDescent="0.35">
      <c r="A155" s="132"/>
      <c r="B155" s="132"/>
      <c r="C155" s="132"/>
      <c r="D155" s="132"/>
      <c r="E155" s="132"/>
      <c r="F155" s="132"/>
      <c r="G155" s="132"/>
      <c r="H155" s="132"/>
      <c r="I155" s="132"/>
    </row>
    <row r="156" spans="1:9" ht="14.5" x14ac:dyDescent="0.35">
      <c r="A156" s="132"/>
      <c r="B156" s="132"/>
      <c r="C156" s="132"/>
      <c r="D156" s="132"/>
      <c r="E156" s="132"/>
      <c r="F156" s="132"/>
      <c r="G156" s="132"/>
      <c r="H156" s="132"/>
      <c r="I156" s="132"/>
    </row>
    <row r="157" spans="1:9" ht="14.5" x14ac:dyDescent="0.35">
      <c r="A157" s="132"/>
      <c r="B157" s="132"/>
      <c r="C157" s="132"/>
      <c r="D157" s="132"/>
      <c r="E157" s="132"/>
      <c r="F157" s="132"/>
      <c r="G157" s="132"/>
      <c r="H157" s="132"/>
      <c r="I157" s="132"/>
    </row>
    <row r="158" spans="1:9" ht="14.5" x14ac:dyDescent="0.35">
      <c r="A158" s="132"/>
      <c r="B158" s="132"/>
      <c r="C158" s="132"/>
      <c r="D158" s="132"/>
      <c r="E158" s="132"/>
      <c r="F158" s="132"/>
      <c r="G158" s="132"/>
      <c r="H158" s="132"/>
      <c r="I158" s="132"/>
    </row>
    <row r="159" spans="1:9" ht="14.5" x14ac:dyDescent="0.35">
      <c r="A159" s="132"/>
      <c r="B159" s="132"/>
      <c r="C159" s="132"/>
      <c r="D159" s="132"/>
      <c r="E159" s="132"/>
      <c r="F159" s="132"/>
      <c r="G159" s="132"/>
      <c r="H159" s="132"/>
      <c r="I159" s="132"/>
    </row>
    <row r="160" spans="1:9" ht="14.5" x14ac:dyDescent="0.35">
      <c r="A160" s="132"/>
      <c r="B160" s="132"/>
      <c r="C160" s="132"/>
      <c r="D160" s="132"/>
      <c r="E160" s="132"/>
      <c r="F160" s="132"/>
      <c r="G160" s="132"/>
      <c r="H160" s="132"/>
      <c r="I160" s="132"/>
    </row>
    <row r="161" spans="1:9" ht="14.5" x14ac:dyDescent="0.35">
      <c r="A161" s="132"/>
      <c r="B161" s="132"/>
      <c r="C161" s="132"/>
      <c r="D161" s="132"/>
      <c r="E161" s="132"/>
      <c r="F161" s="132"/>
      <c r="G161" s="132"/>
      <c r="H161" s="132"/>
      <c r="I161" s="132"/>
    </row>
    <row r="162" spans="1:9" ht="14.5" x14ac:dyDescent="0.35">
      <c r="A162" s="132"/>
      <c r="B162" s="132"/>
      <c r="C162" s="132"/>
      <c r="D162" s="132"/>
      <c r="E162" s="132"/>
      <c r="F162" s="132"/>
      <c r="G162" s="132"/>
      <c r="H162" s="132"/>
      <c r="I162" s="132"/>
    </row>
    <row r="163" spans="1:9" ht="14.5" x14ac:dyDescent="0.35">
      <c r="A163" s="132"/>
      <c r="B163" s="132"/>
      <c r="C163" s="132"/>
      <c r="D163" s="132"/>
      <c r="E163" s="132"/>
      <c r="F163" s="132"/>
      <c r="G163" s="132"/>
      <c r="H163" s="132"/>
      <c r="I163" s="132"/>
    </row>
    <row r="164" spans="1:9" ht="14.5" x14ac:dyDescent="0.35">
      <c r="A164" s="132"/>
      <c r="B164" s="132"/>
      <c r="C164" s="132"/>
      <c r="D164" s="132"/>
      <c r="E164" s="132"/>
      <c r="F164" s="132"/>
      <c r="G164" s="132"/>
      <c r="H164" s="132"/>
      <c r="I164" s="132"/>
    </row>
    <row r="165" spans="1:9" ht="14.5" x14ac:dyDescent="0.35">
      <c r="A165" s="132"/>
      <c r="B165" s="132"/>
      <c r="C165" s="132"/>
      <c r="D165" s="132"/>
      <c r="E165" s="132"/>
      <c r="F165" s="132"/>
      <c r="G165" s="132"/>
      <c r="H165" s="132"/>
      <c r="I165" s="132"/>
    </row>
    <row r="166" spans="1:9" ht="14.5" x14ac:dyDescent="0.35">
      <c r="A166" s="132"/>
      <c r="B166" s="132"/>
      <c r="C166" s="132"/>
      <c r="D166" s="132"/>
      <c r="E166" s="132"/>
      <c r="F166" s="132"/>
      <c r="G166" s="132"/>
      <c r="H166" s="132"/>
      <c r="I166" s="132"/>
    </row>
    <row r="167" spans="1:9" ht="14.5" x14ac:dyDescent="0.35">
      <c r="A167" s="132"/>
      <c r="B167" s="132"/>
      <c r="C167" s="132"/>
      <c r="D167" s="132"/>
      <c r="E167" s="132"/>
      <c r="F167" s="132"/>
      <c r="G167" s="132"/>
      <c r="H167" s="132"/>
      <c r="I167" s="132"/>
    </row>
    <row r="168" spans="1:9" ht="14.5" x14ac:dyDescent="0.35">
      <c r="A168" s="132"/>
      <c r="B168" s="132"/>
      <c r="C168" s="132"/>
      <c r="D168" s="132"/>
      <c r="E168" s="132"/>
      <c r="F168" s="132"/>
      <c r="G168" s="132"/>
      <c r="H168" s="132"/>
      <c r="I168" s="132"/>
    </row>
    <row r="169" spans="1:9" ht="14.5" x14ac:dyDescent="0.35">
      <c r="A169" s="132"/>
      <c r="B169" s="132"/>
      <c r="C169" s="132"/>
      <c r="D169" s="132"/>
      <c r="E169" s="132"/>
      <c r="F169" s="132"/>
      <c r="G169" s="132"/>
      <c r="H169" s="132"/>
      <c r="I169" s="132"/>
    </row>
    <row r="170" spans="1:9" ht="14.5" x14ac:dyDescent="0.35">
      <c r="A170" s="132"/>
      <c r="B170" s="132"/>
      <c r="C170" s="132"/>
      <c r="D170" s="132"/>
      <c r="E170" s="132"/>
      <c r="F170" s="132"/>
      <c r="G170" s="132"/>
      <c r="H170" s="132"/>
      <c r="I170" s="132"/>
    </row>
    <row r="171" spans="1:9" ht="14.5" x14ac:dyDescent="0.35">
      <c r="A171" s="132"/>
      <c r="B171" s="132"/>
      <c r="C171" s="132"/>
      <c r="D171" s="132"/>
      <c r="E171" s="132"/>
      <c r="F171" s="132"/>
      <c r="G171" s="132"/>
      <c r="H171" s="132"/>
      <c r="I171" s="132"/>
    </row>
    <row r="172" spans="1:9" ht="14.5" x14ac:dyDescent="0.35">
      <c r="A172" s="132"/>
      <c r="B172" s="132"/>
      <c r="C172" s="132"/>
      <c r="D172" s="132"/>
      <c r="E172" s="132"/>
      <c r="F172" s="132"/>
      <c r="G172" s="132"/>
      <c r="H172" s="132"/>
      <c r="I172" s="132"/>
    </row>
    <row r="173" spans="1:9" ht="14.5" x14ac:dyDescent="0.35">
      <c r="A173" s="132"/>
      <c r="B173" s="132"/>
      <c r="C173" s="132"/>
      <c r="D173" s="132"/>
      <c r="E173" s="132"/>
      <c r="F173" s="132"/>
      <c r="G173" s="132"/>
      <c r="H173" s="132"/>
      <c r="I173" s="132"/>
    </row>
    <row r="174" spans="1:9" ht="14.5" x14ac:dyDescent="0.35">
      <c r="A174" s="132"/>
      <c r="B174" s="132"/>
      <c r="C174" s="132"/>
      <c r="D174" s="132"/>
      <c r="E174" s="132"/>
      <c r="F174" s="132"/>
      <c r="G174" s="132"/>
      <c r="H174" s="132"/>
      <c r="I174" s="132"/>
    </row>
    <row r="175" spans="1:9" ht="14.5" x14ac:dyDescent="0.35">
      <c r="A175" s="132"/>
      <c r="B175" s="132"/>
      <c r="C175" s="132"/>
      <c r="D175" s="132"/>
      <c r="E175" s="132"/>
      <c r="F175" s="132"/>
      <c r="G175" s="132"/>
      <c r="H175" s="132"/>
      <c r="I175" s="132"/>
    </row>
    <row r="176" spans="1:9" ht="14.5" x14ac:dyDescent="0.35">
      <c r="A176" s="132"/>
      <c r="B176" s="132"/>
      <c r="C176" s="132"/>
      <c r="D176" s="132"/>
      <c r="E176" s="132"/>
      <c r="F176" s="132"/>
      <c r="G176" s="132"/>
      <c r="H176" s="132"/>
      <c r="I176" s="132"/>
    </row>
    <row r="177" spans="1:9" ht="14.5" x14ac:dyDescent="0.35">
      <c r="A177" s="132"/>
      <c r="B177" s="132"/>
      <c r="C177" s="132"/>
      <c r="D177" s="132"/>
      <c r="E177" s="132"/>
      <c r="F177" s="132"/>
      <c r="G177" s="132"/>
      <c r="H177" s="132"/>
      <c r="I177" s="132"/>
    </row>
    <row r="178" spans="1:9" ht="14.5" x14ac:dyDescent="0.35">
      <c r="A178" s="132"/>
      <c r="B178" s="132"/>
      <c r="C178" s="132"/>
      <c r="D178" s="132"/>
      <c r="E178" s="132"/>
      <c r="F178" s="132"/>
      <c r="G178" s="132"/>
      <c r="H178" s="132"/>
      <c r="I178" s="132"/>
    </row>
    <row r="179" spans="1:9" ht="14.5" x14ac:dyDescent="0.35">
      <c r="A179" s="132"/>
      <c r="B179" s="132"/>
      <c r="C179" s="132"/>
      <c r="D179" s="132"/>
      <c r="E179" s="132"/>
      <c r="F179" s="132"/>
      <c r="G179" s="132"/>
      <c r="H179" s="132"/>
      <c r="I179" s="132"/>
    </row>
    <row r="180" spans="1:9" ht="14.5" x14ac:dyDescent="0.35">
      <c r="A180" s="132"/>
      <c r="B180" s="132"/>
      <c r="C180" s="132"/>
      <c r="D180" s="132"/>
      <c r="E180" s="132"/>
      <c r="F180" s="132"/>
      <c r="G180" s="132"/>
      <c r="H180" s="132"/>
      <c r="I180" s="132"/>
    </row>
    <row r="181" spans="1:9" ht="14.5" x14ac:dyDescent="0.35">
      <c r="A181" s="132"/>
      <c r="B181" s="132"/>
      <c r="C181" s="132"/>
      <c r="D181" s="132"/>
      <c r="E181" s="132"/>
      <c r="F181" s="132"/>
      <c r="G181" s="132"/>
      <c r="H181" s="132"/>
      <c r="I181" s="132"/>
    </row>
    <row r="182" spans="1:9" ht="14.5" x14ac:dyDescent="0.35">
      <c r="A182" s="132"/>
      <c r="B182" s="132"/>
      <c r="C182" s="132"/>
      <c r="D182" s="132"/>
      <c r="E182" s="132"/>
      <c r="F182" s="132"/>
      <c r="G182" s="132"/>
      <c r="H182" s="132"/>
      <c r="I182" s="132"/>
    </row>
    <row r="183" spans="1:9" ht="14.5" x14ac:dyDescent="0.35">
      <c r="A183" s="132"/>
      <c r="B183" s="132"/>
      <c r="C183" s="132"/>
      <c r="D183" s="132"/>
      <c r="E183" s="132"/>
      <c r="F183" s="132"/>
      <c r="G183" s="132"/>
      <c r="H183" s="132"/>
      <c r="I183" s="132"/>
    </row>
    <row r="184" spans="1:9" ht="14.5" x14ac:dyDescent="0.35">
      <c r="A184" s="132"/>
      <c r="B184" s="132"/>
      <c r="C184" s="132"/>
      <c r="D184" s="132"/>
      <c r="E184" s="132"/>
      <c r="F184" s="132"/>
      <c r="G184" s="132"/>
      <c r="H184" s="132"/>
      <c r="I184" s="132"/>
    </row>
    <row r="185" spans="1:9" ht="14.5" x14ac:dyDescent="0.35">
      <c r="A185" s="132"/>
      <c r="B185" s="132"/>
      <c r="C185" s="132"/>
      <c r="D185" s="132"/>
      <c r="E185" s="132"/>
      <c r="F185" s="132"/>
      <c r="G185" s="132"/>
      <c r="H185" s="132"/>
      <c r="I185" s="132"/>
    </row>
    <row r="186" spans="1:9" ht="14.5" x14ac:dyDescent="0.35">
      <c r="A186" s="132"/>
      <c r="B186" s="132"/>
      <c r="C186" s="132"/>
      <c r="D186" s="132"/>
      <c r="E186" s="132"/>
      <c r="F186" s="132"/>
      <c r="G186" s="132"/>
      <c r="H186" s="132"/>
      <c r="I186" s="132"/>
    </row>
  </sheetData>
  <sheetProtection algorithmName="SHA-512" hashValue="WKXP1+fqx5Xlmy+7svJq8L9Lh8uk9BDfjkzUgqWZPY9iKvIb3AetvVQKtHEwNer2svN7l1NS9V6QyVFOeB66jA==" saltValue="BKUpK6OpaEQcV15+I88xsg==" spinCount="100000" sheet="1" objects="1" scenarios="1"/>
  <protectedRanges>
    <protectedRange sqref="D12:E12 D29:E29 D16:E16 D25:E25 D47:E47 D43:E43 F67:F103 D111:E111 D117:E117 D123:E123 D127:E127 D113:E113 D112:S112" name="Plage2" securityDescriptor="O:WDG:WDD:(A;;CC;;;WD)"/>
  </protectedRanges>
  <mergeCells count="226">
    <mergeCell ref="B111:C111"/>
    <mergeCell ref="B115:C115"/>
    <mergeCell ref="B117:C117"/>
    <mergeCell ref="D117:S117"/>
    <mergeCell ref="B119:C119"/>
    <mergeCell ref="D119:S119"/>
    <mergeCell ref="B121:C121"/>
    <mergeCell ref="D121:T121"/>
    <mergeCell ref="D111:S111"/>
    <mergeCell ref="B113:C113"/>
    <mergeCell ref="D113:S113"/>
    <mergeCell ref="B123:C123"/>
    <mergeCell ref="B125:C125"/>
    <mergeCell ref="B127:C127"/>
    <mergeCell ref="D127:S127"/>
    <mergeCell ref="B129:C129"/>
    <mergeCell ref="D129:S129"/>
    <mergeCell ref="B131:C131"/>
    <mergeCell ref="D123:S123"/>
    <mergeCell ref="D125:S125"/>
    <mergeCell ref="D131:S131"/>
    <mergeCell ref="D89:E89"/>
    <mergeCell ref="D95:E95"/>
    <mergeCell ref="H72:S72"/>
    <mergeCell ref="F65:G65"/>
    <mergeCell ref="H65:S65"/>
    <mergeCell ref="T65:U65"/>
    <mergeCell ref="T87:U87"/>
    <mergeCell ref="B108:C108"/>
    <mergeCell ref="D108:S108"/>
    <mergeCell ref="T103:U103"/>
    <mergeCell ref="T93:U93"/>
    <mergeCell ref="T94:U94"/>
    <mergeCell ref="T97:U97"/>
    <mergeCell ref="T98:U98"/>
    <mergeCell ref="T99:U99"/>
    <mergeCell ref="T100:U100"/>
    <mergeCell ref="H102:S102"/>
    <mergeCell ref="F83:G83"/>
    <mergeCell ref="H88:S88"/>
    <mergeCell ref="T86:U86"/>
    <mergeCell ref="T101:U101"/>
    <mergeCell ref="T102:U102"/>
    <mergeCell ref="F99:G99"/>
    <mergeCell ref="H99:S99"/>
    <mergeCell ref="D37:S37"/>
    <mergeCell ref="D43:S43"/>
    <mergeCell ref="D45:S45"/>
    <mergeCell ref="D47:S47"/>
    <mergeCell ref="D49:S49"/>
    <mergeCell ref="D51:T51"/>
    <mergeCell ref="D53:S53"/>
    <mergeCell ref="D55:S55"/>
    <mergeCell ref="D57:S57"/>
    <mergeCell ref="D16:S16"/>
    <mergeCell ref="D18:S18"/>
    <mergeCell ref="D20:T20"/>
    <mergeCell ref="D25:S25"/>
    <mergeCell ref="D27:S27"/>
    <mergeCell ref="D29:V29"/>
    <mergeCell ref="D31:S31"/>
    <mergeCell ref="D33:T33"/>
    <mergeCell ref="D35:S35"/>
    <mergeCell ref="D12:T12"/>
    <mergeCell ref="D83:D87"/>
    <mergeCell ref="D91:D93"/>
    <mergeCell ref="H81:S81"/>
    <mergeCell ref="H83:S83"/>
    <mergeCell ref="H103:S103"/>
    <mergeCell ref="H90:S90"/>
    <mergeCell ref="H92:S92"/>
    <mergeCell ref="H94:S94"/>
    <mergeCell ref="H98:S98"/>
    <mergeCell ref="F94:G94"/>
    <mergeCell ref="F97:G97"/>
    <mergeCell ref="F98:G98"/>
    <mergeCell ref="H89:S89"/>
    <mergeCell ref="F95:G95"/>
    <mergeCell ref="H95:S95"/>
    <mergeCell ref="F77:G77"/>
    <mergeCell ref="T88:U88"/>
    <mergeCell ref="T89:U89"/>
    <mergeCell ref="T90:U90"/>
    <mergeCell ref="T91:U91"/>
    <mergeCell ref="T92:U92"/>
    <mergeCell ref="T81:U81"/>
    <mergeCell ref="T82:U82"/>
    <mergeCell ref="T95:U95"/>
    <mergeCell ref="T85:U85"/>
    <mergeCell ref="T83:U83"/>
    <mergeCell ref="H87:S87"/>
    <mergeCell ref="F89:G89"/>
    <mergeCell ref="F90:G90"/>
    <mergeCell ref="F91:G91"/>
    <mergeCell ref="F92:G92"/>
    <mergeCell ref="F93:G93"/>
    <mergeCell ref="B94:C94"/>
    <mergeCell ref="B87:C87"/>
    <mergeCell ref="B83:C83"/>
    <mergeCell ref="B95:C95"/>
    <mergeCell ref="B91:C91"/>
    <mergeCell ref="B92:C92"/>
    <mergeCell ref="B90:C90"/>
    <mergeCell ref="B85:C85"/>
    <mergeCell ref="B65:C65"/>
    <mergeCell ref="B74:C74"/>
    <mergeCell ref="B69:C69"/>
    <mergeCell ref="B67:C67"/>
    <mergeCell ref="B86:C86"/>
    <mergeCell ref="B51:C51"/>
    <mergeCell ref="B68:C68"/>
    <mergeCell ref="H74:S74"/>
    <mergeCell ref="H101:S101"/>
    <mergeCell ref="H100:S100"/>
    <mergeCell ref="H86:S86"/>
    <mergeCell ref="F67:G67"/>
    <mergeCell ref="H67:S67"/>
    <mergeCell ref="B71:C71"/>
    <mergeCell ref="B73:C73"/>
    <mergeCell ref="B75:C75"/>
    <mergeCell ref="F71:G71"/>
    <mergeCell ref="F72:G72"/>
    <mergeCell ref="F73:G73"/>
    <mergeCell ref="F74:G74"/>
    <mergeCell ref="B70:C70"/>
    <mergeCell ref="B72:C72"/>
    <mergeCell ref="F86:G86"/>
    <mergeCell ref="F70:G70"/>
    <mergeCell ref="B81:C81"/>
    <mergeCell ref="B80:C80"/>
    <mergeCell ref="B84:C84"/>
    <mergeCell ref="B79:C79"/>
    <mergeCell ref="H76:S76"/>
    <mergeCell ref="B57:C57"/>
    <mergeCell ref="A60:Q61"/>
    <mergeCell ref="T79:U79"/>
    <mergeCell ref="F68:G68"/>
    <mergeCell ref="F69:G69"/>
    <mergeCell ref="H71:S71"/>
    <mergeCell ref="H73:S73"/>
    <mergeCell ref="H75:S75"/>
    <mergeCell ref="H77:S77"/>
    <mergeCell ref="T67:U67"/>
    <mergeCell ref="T68:U68"/>
    <mergeCell ref="T69:U69"/>
    <mergeCell ref="T70:U70"/>
    <mergeCell ref="T71:U71"/>
    <mergeCell ref="T72:U72"/>
    <mergeCell ref="T75:U75"/>
    <mergeCell ref="T76:U76"/>
    <mergeCell ref="T77:U77"/>
    <mergeCell ref="T78:U78"/>
    <mergeCell ref="F75:G75"/>
    <mergeCell ref="F76:G76"/>
    <mergeCell ref="H68:S68"/>
    <mergeCell ref="H70:S70"/>
    <mergeCell ref="H78:S78"/>
    <mergeCell ref="B20:C20"/>
    <mergeCell ref="B18:C18"/>
    <mergeCell ref="B16:C16"/>
    <mergeCell ref="B14:C14"/>
    <mergeCell ref="F1:S1"/>
    <mergeCell ref="A7:X8"/>
    <mergeCell ref="B12:C12"/>
    <mergeCell ref="B10:S10"/>
    <mergeCell ref="B55:C55"/>
    <mergeCell ref="B47:C47"/>
    <mergeCell ref="B43:C43"/>
    <mergeCell ref="B45:C45"/>
    <mergeCell ref="B39:C39"/>
    <mergeCell ref="B37:C37"/>
    <mergeCell ref="B53:C53"/>
    <mergeCell ref="B33:C33"/>
    <mergeCell ref="B35:C35"/>
    <mergeCell ref="B23:S23"/>
    <mergeCell ref="B25:C25"/>
    <mergeCell ref="B27:C27"/>
    <mergeCell ref="B31:C31"/>
    <mergeCell ref="B29:C29"/>
    <mergeCell ref="B41:S41"/>
    <mergeCell ref="B49:C49"/>
    <mergeCell ref="T80:U80"/>
    <mergeCell ref="F85:G85"/>
    <mergeCell ref="H85:S85"/>
    <mergeCell ref="D67:D73"/>
    <mergeCell ref="D75:E75"/>
    <mergeCell ref="D77:E77"/>
    <mergeCell ref="D79:E79"/>
    <mergeCell ref="D81:E81"/>
    <mergeCell ref="B77:C77"/>
    <mergeCell ref="T73:U73"/>
    <mergeCell ref="T74:U74"/>
    <mergeCell ref="H80:S80"/>
    <mergeCell ref="H82:S82"/>
    <mergeCell ref="H79:S79"/>
    <mergeCell ref="H84:S84"/>
    <mergeCell ref="F81:G81"/>
    <mergeCell ref="B82:C82"/>
    <mergeCell ref="F78:G78"/>
    <mergeCell ref="F79:G79"/>
    <mergeCell ref="F80:G80"/>
    <mergeCell ref="H69:S69"/>
    <mergeCell ref="B133:C133"/>
    <mergeCell ref="D133:S133"/>
    <mergeCell ref="B135:C135"/>
    <mergeCell ref="D135:S135"/>
    <mergeCell ref="B102:C102"/>
    <mergeCell ref="B99:C101"/>
    <mergeCell ref="B103:C103"/>
    <mergeCell ref="B78:C78"/>
    <mergeCell ref="B76:C76"/>
    <mergeCell ref="F103:G103"/>
    <mergeCell ref="F102:G102"/>
    <mergeCell ref="F101:G101"/>
    <mergeCell ref="F87:G87"/>
    <mergeCell ref="F100:G100"/>
    <mergeCell ref="D99:E101"/>
    <mergeCell ref="D103:E103"/>
    <mergeCell ref="H91:S91"/>
    <mergeCell ref="H97:S97"/>
    <mergeCell ref="D97:E97"/>
    <mergeCell ref="B98:C98"/>
    <mergeCell ref="B89:C89"/>
    <mergeCell ref="B93:C93"/>
    <mergeCell ref="B97:C97"/>
    <mergeCell ref="B88:C88"/>
  </mergeCells>
  <conditionalFormatting sqref="W27">
    <cfRule type="expression" priority="189">
      <formula>AND(OR(#REF!,#REF!,#REF!))="Perennial/Tree Crop"</formula>
    </cfRule>
  </conditionalFormatting>
  <dataValidations count="1">
    <dataValidation type="list" allowBlank="1" showInputMessage="1" showErrorMessage="1" sqref="F21" xr:uid="{00000000-0002-0000-2A00-000000000000}">
      <formula1>soil_type</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3DE30-A506-4944-A73F-402A167AC243}">
  <sheetPr>
    <tabColor theme="0"/>
  </sheetPr>
  <dimension ref="A1:H279"/>
  <sheetViews>
    <sheetView workbookViewId="0">
      <selection activeCell="E5" sqref="E5"/>
    </sheetView>
  </sheetViews>
  <sheetFormatPr defaultRowHeight="12.5" x14ac:dyDescent="0.25"/>
  <cols>
    <col min="1" max="2" width="8.7265625" style="3"/>
    <col min="3" max="3" width="43.6328125" style="3" bestFit="1" customWidth="1"/>
    <col min="7" max="7" width="43.6328125" bestFit="1" customWidth="1"/>
  </cols>
  <sheetData>
    <row r="1" spans="1:8" ht="13" x14ac:dyDescent="0.3">
      <c r="A1" s="2" t="s">
        <v>1001</v>
      </c>
      <c r="B1" s="2"/>
      <c r="C1" s="2" t="s">
        <v>752</v>
      </c>
      <c r="D1" s="2" t="s">
        <v>157</v>
      </c>
      <c r="E1" s="2" t="s">
        <v>185</v>
      </c>
      <c r="F1" s="2" t="s">
        <v>1018</v>
      </c>
      <c r="G1" s="2" t="s">
        <v>1019</v>
      </c>
      <c r="H1" s="2" t="s">
        <v>1020</v>
      </c>
    </row>
    <row r="2" spans="1:8" s="3" customFormat="1" ht="13" x14ac:dyDescent="0.3">
      <c r="A2" s="2"/>
      <c r="C2" s="5" t="s">
        <v>10</v>
      </c>
      <c r="D2" s="5" t="s">
        <v>10</v>
      </c>
      <c r="E2" s="5" t="s">
        <v>10</v>
      </c>
      <c r="F2">
        <f>COUNTIF($G$2:$G$250,"?*")</f>
        <v>249</v>
      </c>
      <c r="G2" s="5" t="s">
        <v>10</v>
      </c>
      <c r="H2" s="3" t="str">
        <f>CONCATENATE(IF(Start!D28&gt;1000,CONCATENATE(Start!D20," Mountain",Start!D24),CONCATENATE(Start!D20,Start!D24)))</f>
        <v>Please selectPlease select</v>
      </c>
    </row>
    <row r="3" spans="1:8" x14ac:dyDescent="0.25">
      <c r="A3" s="3" t="s">
        <v>1010</v>
      </c>
      <c r="B3" s="3">
        <f>IF(ISNUMBER(SEARCH(Start!$D$16,'Context variables'!C3)),MAX($B$1:B2)+1,0)</f>
        <v>0</v>
      </c>
      <c r="C3" s="3" t="s">
        <v>836</v>
      </c>
      <c r="D3" s="5" t="s">
        <v>722</v>
      </c>
      <c r="E3" s="5" t="s">
        <v>726</v>
      </c>
      <c r="F3" t="str">
        <f ca="1">OFFSET('Context variables'!$G$3,,,COUNTIF($G$3:$G$250,"?*"))</f>
        <v>Afghanistan</v>
      </c>
      <c r="G3" s="3" t="str">
        <f>IF(Start!$D$16="Please select",'Context variables'!C3,IFERROR(VLOOKUP(ROWS($G$3:G3),$B$3:$C$250,2,0),""))</f>
        <v>Afghanistan</v>
      </c>
    </row>
    <row r="4" spans="1:8" x14ac:dyDescent="0.25">
      <c r="A4" s="3" t="s">
        <v>1012</v>
      </c>
      <c r="B4" s="3">
        <f>IF(ISNUMBER(SEARCH(Start!$D$16,'Context variables'!C4)),MAX($B$1:B3)+1,0)</f>
        <v>0</v>
      </c>
      <c r="C4" s="3" t="s">
        <v>863</v>
      </c>
      <c r="D4" s="5" t="s">
        <v>723</v>
      </c>
      <c r="E4" s="5" t="s">
        <v>1032</v>
      </c>
      <c r="G4" s="3" t="str">
        <f>IF(Start!$D$16="Please select",'Context variables'!C4,IFERROR(VLOOKUP(ROWS($G$3:G4),$B$3:$C$250,2,0),""))</f>
        <v>Åland Islands</v>
      </c>
    </row>
    <row r="5" spans="1:8" x14ac:dyDescent="0.25">
      <c r="A5" s="3" t="s">
        <v>1012</v>
      </c>
      <c r="B5" s="3">
        <f>IF(ISNUMBER(SEARCH(Start!$D$16,'Context variables'!C5)),MAX($B$1:B4)+1,0)</f>
        <v>0</v>
      </c>
      <c r="C5" s="3" t="s">
        <v>864</v>
      </c>
      <c r="D5" s="5" t="s">
        <v>724</v>
      </c>
      <c r="E5" s="5" t="s">
        <v>727</v>
      </c>
      <c r="G5" s="3" t="str">
        <f>IF(Start!$D$16="Please select",'Context variables'!C5,IFERROR(VLOOKUP(ROWS($G$3:G5),$B$3:$C$250,2,0),""))</f>
        <v>Albania</v>
      </c>
    </row>
    <row r="6" spans="1:8" x14ac:dyDescent="0.25">
      <c r="A6" s="3" t="s">
        <v>1004</v>
      </c>
      <c r="B6" s="3">
        <f>IF(ISNUMBER(SEARCH(Start!$D$16,'Context variables'!C6)),MAX($B$1:B5)+1,0)</f>
        <v>0</v>
      </c>
      <c r="C6" s="3" t="s">
        <v>784</v>
      </c>
      <c r="D6" s="5" t="s">
        <v>725</v>
      </c>
      <c r="E6" s="3"/>
      <c r="G6" s="3" t="str">
        <f>IF(Start!$D$16="Please select",'Context variables'!C6,IFERROR(VLOOKUP(ROWS($G$3:G6),$B$3:$C$250,2,0),""))</f>
        <v>Algeria</v>
      </c>
    </row>
    <row r="7" spans="1:8" x14ac:dyDescent="0.25">
      <c r="A7" s="3" t="s">
        <v>1013</v>
      </c>
      <c r="B7" s="3">
        <f>IF(ISNUMBER(SEARCH(Start!$D$16,'Context variables'!C7)),MAX($B$1:B6)+1,0)</f>
        <v>0</v>
      </c>
      <c r="C7" s="3" t="s">
        <v>915</v>
      </c>
      <c r="D7" s="5" t="s">
        <v>206</v>
      </c>
      <c r="E7" s="3"/>
      <c r="G7" s="3" t="str">
        <f>IF(Start!$D$16="Please select",'Context variables'!C7,IFERROR(VLOOKUP(ROWS($G$3:G7),$B$3:$C$250,2,0),""))</f>
        <v>American Samoa</v>
      </c>
    </row>
    <row r="8" spans="1:8" x14ac:dyDescent="0.25">
      <c r="A8" s="3" t="s">
        <v>1012</v>
      </c>
      <c r="B8" s="3">
        <f>IF(ISNUMBER(SEARCH(Start!$D$16,'Context variables'!C8)),MAX($B$1:B7)+1,0)</f>
        <v>0</v>
      </c>
      <c r="C8" s="3" t="s">
        <v>865</v>
      </c>
      <c r="G8" s="3" t="str">
        <f>IF(Start!$D$16="Please select",'Context variables'!C8,IFERROR(VLOOKUP(ROWS($G$3:G8),$B$3:$C$250,2,0),""))</f>
        <v>Andorra</v>
      </c>
    </row>
    <row r="9" spans="1:8" x14ac:dyDescent="0.25">
      <c r="A9" s="3" t="s">
        <v>1003</v>
      </c>
      <c r="B9" s="3">
        <f>IF(ISNUMBER(SEARCH(Start!$D$16,'Context variables'!C9)),MAX($B$1:B8)+1,0)</f>
        <v>0</v>
      </c>
      <c r="C9" s="3" t="s">
        <v>775</v>
      </c>
      <c r="G9" s="3" t="str">
        <f>IF(Start!$D$16="Please select",'Context variables'!C9,IFERROR(VLOOKUP(ROWS($G$3:G9),$B$3:$C$250,2,0),""))</f>
        <v>Angola</v>
      </c>
    </row>
    <row r="10" spans="1:8" x14ac:dyDescent="0.25">
      <c r="A10" s="3" t="s">
        <v>1017</v>
      </c>
      <c r="B10" s="3">
        <f>IF(ISNUMBER(SEARCH(Start!$D$16,'Context variables'!C10)),MAX($B$1:B9)+1,0)</f>
        <v>0</v>
      </c>
      <c r="C10" s="3" t="s">
        <v>973</v>
      </c>
      <c r="G10" s="3" t="str">
        <f>IF(Start!$D$16="Please select",'Context variables'!C10,IFERROR(VLOOKUP(ROWS($G$3:G10),$B$3:$C$250,2,0),""))</f>
        <v>Anguilla</v>
      </c>
    </row>
    <row r="11" spans="1:8" x14ac:dyDescent="0.25">
      <c r="A11" s="3" t="s">
        <v>1017</v>
      </c>
      <c r="B11" s="3">
        <f>IF(ISNUMBER(SEARCH(Start!$D$16,'Context variables'!C11)),MAX($B$1:B10)+1,0)</f>
        <v>0</v>
      </c>
      <c r="C11" s="3" t="s">
        <v>974</v>
      </c>
      <c r="G11" s="3" t="str">
        <f>IF(Start!$D$16="Please select",'Context variables'!C11,IFERROR(VLOOKUP(ROWS($G$3:G11),$B$3:$C$250,2,0),""))</f>
        <v>Antigua and Barbuda</v>
      </c>
    </row>
    <row r="12" spans="1:8" x14ac:dyDescent="0.25">
      <c r="A12" s="3" t="s">
        <v>1015</v>
      </c>
      <c r="B12" s="3">
        <f>IF(ISNUMBER(SEARCH(Start!$D$16,'Context variables'!C12)),MAX($B$1:B11)+1,0)</f>
        <v>0</v>
      </c>
      <c r="C12" s="3" t="s">
        <v>949</v>
      </c>
      <c r="G12" s="3" t="str">
        <f>IF(Start!$D$16="Please select",'Context variables'!C12,IFERROR(VLOOKUP(ROWS($G$3:G12),$B$3:$C$250,2,0),""))</f>
        <v>Argentina</v>
      </c>
    </row>
    <row r="13" spans="1:8" x14ac:dyDescent="0.25">
      <c r="A13" s="3" t="s">
        <v>1011</v>
      </c>
      <c r="B13" s="3">
        <f>IF(ISNUMBER(SEARCH(Start!$D$16,'Context variables'!C13)),MAX($B$1:B12)+1,0)</f>
        <v>0</v>
      </c>
      <c r="C13" s="3" t="s">
        <v>845</v>
      </c>
      <c r="G13" s="3" t="str">
        <f>IF(Start!$D$16="Please select",'Context variables'!C13,IFERROR(VLOOKUP(ROWS($G$3:G13),$B$3:$C$250,2,0),""))</f>
        <v>Armenia</v>
      </c>
    </row>
    <row r="14" spans="1:8" x14ac:dyDescent="0.25">
      <c r="A14" s="3" t="s">
        <v>1017</v>
      </c>
      <c r="B14" s="3">
        <f>IF(ISNUMBER(SEARCH(Start!$D$16,'Context variables'!C14)),MAX($B$1:B13)+1,0)</f>
        <v>0</v>
      </c>
      <c r="C14" s="3" t="s">
        <v>975</v>
      </c>
      <c r="G14" s="3" t="str">
        <f>IF(Start!$D$16="Please select",'Context variables'!C14,IFERROR(VLOOKUP(ROWS($G$3:G14),$B$3:$C$250,2,0),""))</f>
        <v>Aruba</v>
      </c>
    </row>
    <row r="15" spans="1:8" x14ac:dyDescent="0.25">
      <c r="A15" s="3" t="s">
        <v>1013</v>
      </c>
      <c r="B15" s="3">
        <f>IF(ISNUMBER(SEARCH(Start!$D$16,'Context variables'!C15)),MAX($B$1:B14)+1,0)</f>
        <v>0</v>
      </c>
      <c r="C15" s="3" t="s">
        <v>916</v>
      </c>
      <c r="G15" s="3" t="str">
        <f>IF(Start!$D$16="Please select",'Context variables'!C15,IFERROR(VLOOKUP(ROWS($G$3:G15),$B$3:$C$250,2,0),""))</f>
        <v>Australia</v>
      </c>
    </row>
    <row r="16" spans="1:8" x14ac:dyDescent="0.25">
      <c r="A16" s="3" t="s">
        <v>1012</v>
      </c>
      <c r="B16" s="3">
        <f>IF(ISNUMBER(SEARCH(Start!$D$16,'Context variables'!C16)),MAX($B$1:B15)+1,0)</f>
        <v>0</v>
      </c>
      <c r="C16" s="3" t="s">
        <v>866</v>
      </c>
      <c r="G16" s="3" t="str">
        <f>IF(Start!$D$16="Please select",'Context variables'!C16,IFERROR(VLOOKUP(ROWS($G$3:G16),$B$3:$C$250,2,0),""))</f>
        <v>Austria</v>
      </c>
    </row>
    <row r="17" spans="1:7" x14ac:dyDescent="0.25">
      <c r="A17" s="3" t="s">
        <v>1011</v>
      </c>
      <c r="B17" s="3">
        <f>IF(ISNUMBER(SEARCH(Start!$D$16,'Context variables'!C17)),MAX($B$1:B16)+1,0)</f>
        <v>0</v>
      </c>
      <c r="C17" s="3" t="s">
        <v>846</v>
      </c>
      <c r="G17" s="3" t="str">
        <f>IF(Start!$D$16="Please select",'Context variables'!C17,IFERROR(VLOOKUP(ROWS($G$3:G17),$B$3:$C$250,2,0),""))</f>
        <v>Azerbaijan</v>
      </c>
    </row>
    <row r="18" spans="1:7" x14ac:dyDescent="0.25">
      <c r="A18" s="3" t="s">
        <v>1017</v>
      </c>
      <c r="B18" s="3">
        <f>IF(ISNUMBER(SEARCH(Start!$D$16,'Context variables'!C18)),MAX($B$1:B17)+1,0)</f>
        <v>0</v>
      </c>
      <c r="C18" s="3" t="s">
        <v>976</v>
      </c>
      <c r="G18" s="3" t="str">
        <f>IF(Start!$D$16="Please select",'Context variables'!C18,IFERROR(VLOOKUP(ROWS($G$3:G18),$B$3:$C$250,2,0),""))</f>
        <v>Bahamas</v>
      </c>
    </row>
    <row r="19" spans="1:7" x14ac:dyDescent="0.25">
      <c r="A19" s="3" t="s">
        <v>1011</v>
      </c>
      <c r="B19" s="3">
        <f>IF(ISNUMBER(SEARCH(Start!$D$16,'Context variables'!C19)),MAX($B$1:B18)+1,0)</f>
        <v>0</v>
      </c>
      <c r="C19" s="3" t="s">
        <v>847</v>
      </c>
      <c r="G19" s="3" t="str">
        <f>IF(Start!$D$16="Please select",'Context variables'!C19,IFERROR(VLOOKUP(ROWS($G$3:G19),$B$3:$C$250,2,0),""))</f>
        <v>Bahrain</v>
      </c>
    </row>
    <row r="20" spans="1:7" x14ac:dyDescent="0.25">
      <c r="A20" s="3" t="s">
        <v>1010</v>
      </c>
      <c r="B20" s="3">
        <f>IF(ISNUMBER(SEARCH(Start!$D$16,'Context variables'!C20)),MAX($B$1:B19)+1,0)</f>
        <v>0</v>
      </c>
      <c r="C20" s="3" t="s">
        <v>837</v>
      </c>
      <c r="G20" s="3" t="str">
        <f>IF(Start!$D$16="Please select",'Context variables'!C20,IFERROR(VLOOKUP(ROWS($G$3:G20),$B$3:$C$250,2,0),""))</f>
        <v>Bangladesh</v>
      </c>
    </row>
    <row r="21" spans="1:7" x14ac:dyDescent="0.25">
      <c r="A21" s="3" t="s">
        <v>1017</v>
      </c>
      <c r="B21" s="3">
        <f>IF(ISNUMBER(SEARCH(Start!$D$16,'Context variables'!C21)),MAX($B$1:B20)+1,0)</f>
        <v>0</v>
      </c>
      <c r="C21" s="3" t="s">
        <v>977</v>
      </c>
      <c r="G21" s="3" t="str">
        <f>IF(Start!$D$16="Please select",'Context variables'!C21,IFERROR(VLOOKUP(ROWS($G$3:G21),$B$3:$C$250,2,0),""))</f>
        <v>Barbados</v>
      </c>
    </row>
    <row r="22" spans="1:7" x14ac:dyDescent="0.25">
      <c r="A22" s="3" t="s">
        <v>1012</v>
      </c>
      <c r="B22" s="3">
        <f>IF(ISNUMBER(SEARCH(Start!$D$16,'Context variables'!C22)),MAX($B$1:B21)+1,0)</f>
        <v>0</v>
      </c>
      <c r="C22" s="3" t="s">
        <v>867</v>
      </c>
      <c r="G22" s="3" t="str">
        <f>IF(Start!$D$16="Please select",'Context variables'!C22,IFERROR(VLOOKUP(ROWS($G$3:G22),$B$3:$C$250,2,0),""))</f>
        <v>Belarus</v>
      </c>
    </row>
    <row r="23" spans="1:7" x14ac:dyDescent="0.25">
      <c r="A23" s="3" t="s">
        <v>1012</v>
      </c>
      <c r="B23" s="3">
        <f>IF(ISNUMBER(SEARCH(Start!$D$16,'Context variables'!C23)),MAX($B$1:B22)+1,0)</f>
        <v>0</v>
      </c>
      <c r="C23" s="3" t="s">
        <v>868</v>
      </c>
      <c r="G23" s="3" t="str">
        <f>IF(Start!$D$16="Please select",'Context variables'!C23,IFERROR(VLOOKUP(ROWS($G$3:G23),$B$3:$C$250,2,0),""))</f>
        <v>Belgium</v>
      </c>
    </row>
    <row r="24" spans="1:7" x14ac:dyDescent="0.25">
      <c r="A24" s="3" t="s">
        <v>1016</v>
      </c>
      <c r="B24" s="3">
        <f>IF(ISNUMBER(SEARCH(Start!$D$16,'Context variables'!C24)),MAX($B$1:B23)+1,0)</f>
        <v>0</v>
      </c>
      <c r="C24" s="3" t="s">
        <v>965</v>
      </c>
      <c r="G24" s="3" t="str">
        <f>IF(Start!$D$16="Please select",'Context variables'!C24,IFERROR(VLOOKUP(ROWS($G$3:G24),$B$3:$C$250,2,0),""))</f>
        <v>Belize</v>
      </c>
    </row>
    <row r="25" spans="1:7" x14ac:dyDescent="0.25">
      <c r="A25" s="3" t="s">
        <v>1006</v>
      </c>
      <c r="B25" s="3">
        <f>IF(ISNUMBER(SEARCH(Start!$D$16,'Context variables'!C25)),MAX($B$1:B24)+1,0)</f>
        <v>0</v>
      </c>
      <c r="C25" s="3" t="s">
        <v>796</v>
      </c>
      <c r="G25" s="3" t="str">
        <f>IF(Start!$D$16="Please select",'Context variables'!C25,IFERROR(VLOOKUP(ROWS($G$3:G25),$B$3:$C$250,2,0),""))</f>
        <v>Benin</v>
      </c>
    </row>
    <row r="26" spans="1:7" x14ac:dyDescent="0.25">
      <c r="A26" s="3" t="s">
        <v>1014</v>
      </c>
      <c r="B26" s="3">
        <f>IF(ISNUMBER(SEARCH(Start!$D$16,'Context variables'!C26)),MAX($B$1:B25)+1,0)</f>
        <v>0</v>
      </c>
      <c r="C26" s="3" t="s">
        <v>944</v>
      </c>
      <c r="G26" s="3" t="str">
        <f>IF(Start!$D$16="Please select",'Context variables'!C26,IFERROR(VLOOKUP(ROWS($G$3:G26),$B$3:$C$250,2,0),""))</f>
        <v>Bermuda</v>
      </c>
    </row>
    <row r="27" spans="1:7" x14ac:dyDescent="0.25">
      <c r="A27" s="3" t="s">
        <v>1010</v>
      </c>
      <c r="B27" s="3">
        <f>IF(ISNUMBER(SEARCH(Start!$D$16,'Context variables'!C27)),MAX($B$1:B26)+1,0)</f>
        <v>0</v>
      </c>
      <c r="C27" s="3" t="s">
        <v>838</v>
      </c>
      <c r="G27" s="3" t="str">
        <f>IF(Start!$D$16="Please select",'Context variables'!C27,IFERROR(VLOOKUP(ROWS($G$3:G27),$B$3:$C$250,2,0),""))</f>
        <v>Bhutan</v>
      </c>
    </row>
    <row r="28" spans="1:7" x14ac:dyDescent="0.25">
      <c r="A28" s="3" t="s">
        <v>1015</v>
      </c>
      <c r="B28" s="3">
        <f>IF(ISNUMBER(SEARCH(Start!$D$16,'Context variables'!C28)),MAX($B$1:B27)+1,0)</f>
        <v>0</v>
      </c>
      <c r="C28" s="3" t="s">
        <v>950</v>
      </c>
      <c r="G28" s="3" t="str">
        <f>IF(Start!$D$16="Please select",'Context variables'!C28,IFERROR(VLOOKUP(ROWS($G$3:G28),$B$3:$C$250,2,0),""))</f>
        <v>Bolivia</v>
      </c>
    </row>
    <row r="29" spans="1:7" x14ac:dyDescent="0.25">
      <c r="A29" s="3" t="s">
        <v>1017</v>
      </c>
      <c r="B29" s="3">
        <f>IF(ISNUMBER(SEARCH(Start!$D$16,'Context variables'!C29)),MAX($B$1:B28)+1,0)</f>
        <v>0</v>
      </c>
      <c r="C29" s="3" t="s">
        <v>978</v>
      </c>
      <c r="G29" s="3" t="str">
        <f>IF(Start!$D$16="Please select",'Context variables'!C29,IFERROR(VLOOKUP(ROWS($G$3:G29),$B$3:$C$250,2,0),""))</f>
        <v>Bonaire, Sint Eustatius and Saba</v>
      </c>
    </row>
    <row r="30" spans="1:7" x14ac:dyDescent="0.25">
      <c r="A30" s="3" t="s">
        <v>1012</v>
      </c>
      <c r="B30" s="3">
        <f>IF(ISNUMBER(SEARCH(Start!$D$16,'Context variables'!C30)),MAX($B$1:B29)+1,0)</f>
        <v>0</v>
      </c>
      <c r="C30" s="3" t="s">
        <v>869</v>
      </c>
      <c r="G30" s="3" t="str">
        <f>IF(Start!$D$16="Please select",'Context variables'!C30,IFERROR(VLOOKUP(ROWS($G$3:G30),$B$3:$C$250,2,0),""))</f>
        <v>Bosnia and Herzegovina</v>
      </c>
    </row>
    <row r="31" spans="1:7" x14ac:dyDescent="0.25">
      <c r="A31" s="3" t="s">
        <v>1005</v>
      </c>
      <c r="B31" s="3">
        <f>IF(ISNUMBER(SEARCH(Start!$D$16,'Context variables'!C31)),MAX($B$1:B30)+1,0)</f>
        <v>0</v>
      </c>
      <c r="C31" s="3" t="s">
        <v>791</v>
      </c>
      <c r="G31" s="3" t="str">
        <f>IF(Start!$D$16="Please select",'Context variables'!C31,IFERROR(VLOOKUP(ROWS($G$3:G31),$B$3:$C$250,2,0),""))</f>
        <v>Botswana</v>
      </c>
    </row>
    <row r="32" spans="1:7" x14ac:dyDescent="0.25">
      <c r="A32" s="3" t="s">
        <v>1015</v>
      </c>
      <c r="B32" s="3">
        <f>IF(ISNUMBER(SEARCH(Start!$D$16,'Context variables'!C32)),MAX($B$1:B31)+1,0)</f>
        <v>0</v>
      </c>
      <c r="C32" s="3" t="s">
        <v>951</v>
      </c>
      <c r="G32" s="3" t="str">
        <f>IF(Start!$D$16="Please select",'Context variables'!C32,IFERROR(VLOOKUP(ROWS($G$3:G32),$B$3:$C$250,2,0),""))</f>
        <v>Bouvet Island</v>
      </c>
    </row>
    <row r="33" spans="1:7" x14ac:dyDescent="0.25">
      <c r="A33" s="3" t="s">
        <v>1015</v>
      </c>
      <c r="B33" s="3">
        <f>IF(ISNUMBER(SEARCH(Start!$D$16,'Context variables'!C33)),MAX($B$1:B32)+1,0)</f>
        <v>0</v>
      </c>
      <c r="C33" s="3" t="s">
        <v>952</v>
      </c>
      <c r="G33" s="3" t="str">
        <f>IF(Start!$D$16="Please select",'Context variables'!C33,IFERROR(VLOOKUP(ROWS($G$3:G33),$B$3:$C$250,2,0),""))</f>
        <v>Brazil</v>
      </c>
    </row>
    <row r="34" spans="1:7" x14ac:dyDescent="0.25">
      <c r="A34" s="3" t="s">
        <v>1002</v>
      </c>
      <c r="B34" s="3">
        <f>IF(ISNUMBER(SEARCH(Start!$D$16,'Context variables'!C34)),MAX($B$1:B33)+1,0)</f>
        <v>0</v>
      </c>
      <c r="C34" s="3" t="s">
        <v>753</v>
      </c>
      <c r="D34" s="5"/>
      <c r="E34" s="5"/>
      <c r="G34" s="3" t="str">
        <f>IF(Start!$D$16="Please select",'Context variables'!C34,IFERROR(VLOOKUP(ROWS($G$3:G34),$B$3:$C$250,2,0),""))</f>
        <v>British Indian Ocean Territory</v>
      </c>
    </row>
    <row r="35" spans="1:7" x14ac:dyDescent="0.25">
      <c r="A35" s="3" t="s">
        <v>1017</v>
      </c>
      <c r="B35" s="3">
        <f>IF(ISNUMBER(SEARCH(Start!$D$16,'Context variables'!C35)),MAX($B$1:B34)+1,0)</f>
        <v>0</v>
      </c>
      <c r="C35" s="3" t="s">
        <v>979</v>
      </c>
      <c r="G35" s="3" t="str">
        <f>IF(Start!$D$16="Please select",'Context variables'!C35,IFERROR(VLOOKUP(ROWS($G$3:G35),$B$3:$C$250,2,0),""))</f>
        <v>British Virgin Islands</v>
      </c>
    </row>
    <row r="36" spans="1:7" x14ac:dyDescent="0.25">
      <c r="A36" s="3" t="s">
        <v>1009</v>
      </c>
      <c r="B36" s="3">
        <f>IF(ISNUMBER(SEARCH(Start!$D$16,'Context variables'!C36)),MAX($B$1:B35)+1,0)</f>
        <v>0</v>
      </c>
      <c r="C36" s="3" t="s">
        <v>825</v>
      </c>
      <c r="G36" s="3" t="str">
        <f>IF(Start!$D$16="Please select",'Context variables'!C36,IFERROR(VLOOKUP(ROWS($G$3:G36),$B$3:$C$250,2,0),""))</f>
        <v>Brunei Darussalam</v>
      </c>
    </row>
    <row r="37" spans="1:7" x14ac:dyDescent="0.25">
      <c r="A37" s="3" t="s">
        <v>1012</v>
      </c>
      <c r="B37" s="3">
        <f>IF(ISNUMBER(SEARCH(Start!$D$16,'Context variables'!C37)),MAX($B$1:B36)+1,0)</f>
        <v>0</v>
      </c>
      <c r="C37" s="3" t="s">
        <v>870</v>
      </c>
      <c r="G37" s="3" t="str">
        <f>IF(Start!$D$16="Please select",'Context variables'!C37,IFERROR(VLOOKUP(ROWS($G$3:G37),$B$3:$C$250,2,0),""))</f>
        <v>Bulgaria</v>
      </c>
    </row>
    <row r="38" spans="1:7" x14ac:dyDescent="0.25">
      <c r="A38" s="3" t="s">
        <v>1006</v>
      </c>
      <c r="B38" s="3">
        <f>IF(ISNUMBER(SEARCH(Start!$D$16,'Context variables'!C38)),MAX($B$1:B37)+1,0)</f>
        <v>0</v>
      </c>
      <c r="C38" s="3" t="s">
        <v>797</v>
      </c>
      <c r="G38" s="3" t="str">
        <f>IF(Start!$D$16="Please select",'Context variables'!C38,IFERROR(VLOOKUP(ROWS($G$3:G38),$B$3:$C$250,2,0),""))</f>
        <v>Burkina Faso</v>
      </c>
    </row>
    <row r="39" spans="1:7" x14ac:dyDescent="0.25">
      <c r="A39" s="3" t="s">
        <v>1002</v>
      </c>
      <c r="B39" s="3">
        <f>IF(ISNUMBER(SEARCH(Start!$D$16,'Context variables'!C39)),MAX($B$1:B38)+1,0)</f>
        <v>0</v>
      </c>
      <c r="C39" s="3" t="s">
        <v>754</v>
      </c>
      <c r="D39" s="5"/>
      <c r="E39" s="5"/>
      <c r="G39" s="3" t="str">
        <f>IF(Start!$D$16="Please select",'Context variables'!C39,IFERROR(VLOOKUP(ROWS($G$3:G39),$B$3:$C$250,2,0),""))</f>
        <v>Burundi</v>
      </c>
    </row>
    <row r="40" spans="1:7" x14ac:dyDescent="0.25">
      <c r="A40" s="3" t="s">
        <v>1006</v>
      </c>
      <c r="B40" s="3">
        <f>IF(ISNUMBER(SEARCH(Start!$D$16,'Context variables'!C40)),MAX($B$1:B39)+1,0)</f>
        <v>0</v>
      </c>
      <c r="C40" s="3" t="s">
        <v>798</v>
      </c>
      <c r="G40" s="3" t="str">
        <f>IF(Start!$D$16="Please select",'Context variables'!C40,IFERROR(VLOOKUP(ROWS($G$3:G40),$B$3:$C$250,2,0),""))</f>
        <v>Cabo Verde</v>
      </c>
    </row>
    <row r="41" spans="1:7" x14ac:dyDescent="0.25">
      <c r="A41" s="3" t="s">
        <v>1009</v>
      </c>
      <c r="B41" s="3">
        <f>IF(ISNUMBER(SEARCH(Start!$D$16,'Context variables'!C41)),MAX($B$1:B40)+1,0)</f>
        <v>0</v>
      </c>
      <c r="C41" s="3" t="s">
        <v>826</v>
      </c>
      <c r="G41" s="3" t="str">
        <f>IF(Start!$D$16="Please select",'Context variables'!C41,IFERROR(VLOOKUP(ROWS($G$3:G41),$B$3:$C$250,2,0),""))</f>
        <v>Cambodia</v>
      </c>
    </row>
    <row r="42" spans="1:7" x14ac:dyDescent="0.25">
      <c r="A42" s="3" t="s">
        <v>1003</v>
      </c>
      <c r="B42" s="3">
        <f>IF(ISNUMBER(SEARCH(Start!$D$16,'Context variables'!C42)),MAX($B$1:B41)+1,0)</f>
        <v>0</v>
      </c>
      <c r="C42" s="3" t="s">
        <v>776</v>
      </c>
      <c r="G42" s="3" t="str">
        <f>IF(Start!$D$16="Please select",'Context variables'!C42,IFERROR(VLOOKUP(ROWS($G$3:G42),$B$3:$C$250,2,0),""))</f>
        <v>Cameroon</v>
      </c>
    </row>
    <row r="43" spans="1:7" x14ac:dyDescent="0.25">
      <c r="A43" s="3" t="s">
        <v>1014</v>
      </c>
      <c r="B43" s="3">
        <f>IF(ISNUMBER(SEARCH(Start!$D$16,'Context variables'!C43)),MAX($B$1:B42)+1,0)</f>
        <v>0</v>
      </c>
      <c r="C43" s="3" t="s">
        <v>945</v>
      </c>
      <c r="G43" s="3" t="str">
        <f>IF(Start!$D$16="Please select",'Context variables'!C43,IFERROR(VLOOKUP(ROWS($G$3:G43),$B$3:$C$250,2,0),""))</f>
        <v>Canada</v>
      </c>
    </row>
    <row r="44" spans="1:7" x14ac:dyDescent="0.25">
      <c r="A44" s="3" t="s">
        <v>1017</v>
      </c>
      <c r="B44" s="3">
        <f>IF(ISNUMBER(SEARCH(Start!$D$16,'Context variables'!C44)),MAX($B$1:B43)+1,0)</f>
        <v>0</v>
      </c>
      <c r="C44" s="3" t="s">
        <v>980</v>
      </c>
      <c r="G44" s="3" t="str">
        <f>IF(Start!$D$16="Please select",'Context variables'!C44,IFERROR(VLOOKUP(ROWS($G$3:G44),$B$3:$C$250,2,0),""))</f>
        <v>Cayman Islands</v>
      </c>
    </row>
    <row r="45" spans="1:7" x14ac:dyDescent="0.25">
      <c r="A45" s="3" t="s">
        <v>1003</v>
      </c>
      <c r="B45" s="3">
        <f>IF(ISNUMBER(SEARCH(Start!$D$16,'Context variables'!C45)),MAX($B$1:B44)+1,0)</f>
        <v>0</v>
      </c>
      <c r="C45" s="3" t="s">
        <v>777</v>
      </c>
      <c r="G45" s="3" t="str">
        <f>IF(Start!$D$16="Please select",'Context variables'!C45,IFERROR(VLOOKUP(ROWS($G$3:G45),$B$3:$C$250,2,0),""))</f>
        <v>Central African Republic</v>
      </c>
    </row>
    <row r="46" spans="1:7" x14ac:dyDescent="0.25">
      <c r="A46" s="3" t="s">
        <v>1003</v>
      </c>
      <c r="B46" s="3">
        <f>IF(ISNUMBER(SEARCH(Start!$D$16,'Context variables'!C46)),MAX($B$1:B45)+1,0)</f>
        <v>0</v>
      </c>
      <c r="C46" s="3" t="s">
        <v>778</v>
      </c>
      <c r="G46" s="3" t="str">
        <f>IF(Start!$D$16="Please select",'Context variables'!C46,IFERROR(VLOOKUP(ROWS($G$3:G46),$B$3:$C$250,2,0),""))</f>
        <v>Chad</v>
      </c>
    </row>
    <row r="47" spans="1:7" x14ac:dyDescent="0.25">
      <c r="A47" s="3" t="s">
        <v>1015</v>
      </c>
      <c r="B47" s="3">
        <f>IF(ISNUMBER(SEARCH(Start!$D$16,'Context variables'!C47)),MAX($B$1:B46)+1,0)</f>
        <v>0</v>
      </c>
      <c r="C47" s="3" t="s">
        <v>953</v>
      </c>
      <c r="G47" s="3" t="str">
        <f>IF(Start!$D$16="Please select",'Context variables'!C47,IFERROR(VLOOKUP(ROWS($G$3:G47),$B$3:$C$250,2,0),""))</f>
        <v>Chile</v>
      </c>
    </row>
    <row r="48" spans="1:7" x14ac:dyDescent="0.25">
      <c r="A48" s="3" t="s">
        <v>1008</v>
      </c>
      <c r="B48" s="3">
        <f>IF(ISNUMBER(SEARCH(Start!$D$16,'Context variables'!C48)),MAX($B$1:B47)+1,0)</f>
        <v>0</v>
      </c>
      <c r="C48" s="3" t="s">
        <v>818</v>
      </c>
      <c r="G48" s="3" t="str">
        <f>IF(Start!$D$16="Please select",'Context variables'!C48,IFERROR(VLOOKUP(ROWS($G$3:G48),$B$3:$C$250,2,0),""))</f>
        <v>China</v>
      </c>
    </row>
    <row r="49" spans="1:7" x14ac:dyDescent="0.25">
      <c r="A49" s="3" t="s">
        <v>1008</v>
      </c>
      <c r="B49" s="3">
        <f>IF(ISNUMBER(SEARCH(Start!$D$16,'Context variables'!C49)),MAX($B$1:B48)+1,0)</f>
        <v>0</v>
      </c>
      <c r="C49" s="3" t="s">
        <v>819</v>
      </c>
      <c r="G49" s="3" t="str">
        <f>IF(Start!$D$16="Please select",'Context variables'!C49,IFERROR(VLOOKUP(ROWS($G$3:G49),$B$3:$C$250,2,0),""))</f>
        <v>China, Hong Kong Special Administrative Region</v>
      </c>
    </row>
    <row r="50" spans="1:7" x14ac:dyDescent="0.25">
      <c r="A50" s="3" t="s">
        <v>1008</v>
      </c>
      <c r="B50" s="3">
        <f>IF(ISNUMBER(SEARCH(Start!$D$16,'Context variables'!C50)),MAX($B$1:B49)+1,0)</f>
        <v>0</v>
      </c>
      <c r="C50" s="3" t="s">
        <v>820</v>
      </c>
      <c r="G50" s="3" t="str">
        <f>IF(Start!$D$16="Please select",'Context variables'!C50,IFERROR(VLOOKUP(ROWS($G$3:G50),$B$3:$C$250,2,0),""))</f>
        <v>China, Macao Special Administrative Region</v>
      </c>
    </row>
    <row r="51" spans="1:7" x14ac:dyDescent="0.25">
      <c r="A51" s="3" t="s">
        <v>1013</v>
      </c>
      <c r="B51" s="3">
        <f>IF(ISNUMBER(SEARCH(Start!$D$16,'Context variables'!C51)),MAX($B$1:B50)+1,0)</f>
        <v>0</v>
      </c>
      <c r="C51" s="3" t="s">
        <v>917</v>
      </c>
      <c r="G51" s="3" t="str">
        <f>IF(Start!$D$16="Please select",'Context variables'!C51,IFERROR(VLOOKUP(ROWS($G$3:G51),$B$3:$C$250,2,0),""))</f>
        <v>Christmas Island</v>
      </c>
    </row>
    <row r="52" spans="1:7" x14ac:dyDescent="0.25">
      <c r="A52" s="3" t="s">
        <v>1013</v>
      </c>
      <c r="B52" s="3">
        <f>IF(ISNUMBER(SEARCH(Start!$D$16,'Context variables'!C52)),MAX($B$1:B51)+1,0)</f>
        <v>0</v>
      </c>
      <c r="C52" s="3" t="s">
        <v>918</v>
      </c>
      <c r="G52" s="3" t="str">
        <f>IF(Start!$D$16="Please select",'Context variables'!C52,IFERROR(VLOOKUP(ROWS($G$3:G52),$B$3:$C$250,2,0),""))</f>
        <v>Cocos (Keeling) Islands</v>
      </c>
    </row>
    <row r="53" spans="1:7" x14ac:dyDescent="0.25">
      <c r="A53" s="3" t="s">
        <v>1015</v>
      </c>
      <c r="B53" s="3">
        <f>IF(ISNUMBER(SEARCH(Start!$D$16,'Context variables'!C53)),MAX($B$1:B52)+1,0)</f>
        <v>0</v>
      </c>
      <c r="C53" s="3" t="s">
        <v>954</v>
      </c>
      <c r="G53" s="3" t="str">
        <f>IF(Start!$D$16="Please select",'Context variables'!C53,IFERROR(VLOOKUP(ROWS($G$3:G53),$B$3:$C$250,2,0),""))</f>
        <v>Colombia</v>
      </c>
    </row>
    <row r="54" spans="1:7" x14ac:dyDescent="0.25">
      <c r="A54" s="3" t="s">
        <v>1002</v>
      </c>
      <c r="B54" s="3">
        <f>IF(ISNUMBER(SEARCH(Start!$D$16,'Context variables'!C54)),MAX($B$1:B53)+1,0)</f>
        <v>0</v>
      </c>
      <c r="C54" s="3" t="s">
        <v>755</v>
      </c>
      <c r="D54" s="5"/>
      <c r="E54" s="5"/>
      <c r="G54" s="3" t="str">
        <f>IF(Start!$D$16="Please select",'Context variables'!C54,IFERROR(VLOOKUP(ROWS($G$3:G54),$B$3:$C$250,2,0),""))</f>
        <v>Comoros</v>
      </c>
    </row>
    <row r="55" spans="1:7" x14ac:dyDescent="0.25">
      <c r="A55" s="3" t="s">
        <v>1003</v>
      </c>
      <c r="B55" s="3">
        <f>IF(ISNUMBER(SEARCH(Start!$D$16,'Context variables'!C55)),MAX($B$1:B54)+1,0)</f>
        <v>0</v>
      </c>
      <c r="C55" s="3" t="s">
        <v>779</v>
      </c>
      <c r="G55" s="3" t="str">
        <f>IF(Start!$D$16="Please select",'Context variables'!C55,IFERROR(VLOOKUP(ROWS($G$3:G55),$B$3:$C$250,2,0),""))</f>
        <v>Congo</v>
      </c>
    </row>
    <row r="56" spans="1:7" x14ac:dyDescent="0.25">
      <c r="A56" s="3" t="s">
        <v>1013</v>
      </c>
      <c r="B56" s="3">
        <f>IF(ISNUMBER(SEARCH(Start!$D$16,'Context variables'!C56)),MAX($B$1:B55)+1,0)</f>
        <v>0</v>
      </c>
      <c r="C56" s="3" t="s">
        <v>919</v>
      </c>
      <c r="G56" s="3" t="str">
        <f>IF(Start!$D$16="Please select",'Context variables'!C56,IFERROR(VLOOKUP(ROWS($G$3:G56),$B$3:$C$250,2,0),""))</f>
        <v>Cook Islands</v>
      </c>
    </row>
    <row r="57" spans="1:7" x14ac:dyDescent="0.25">
      <c r="A57" s="3" t="s">
        <v>1016</v>
      </c>
      <c r="B57" s="3">
        <f>IF(ISNUMBER(SEARCH(Start!$D$16,'Context variables'!C57)),MAX($B$1:B56)+1,0)</f>
        <v>0</v>
      </c>
      <c r="C57" s="3" t="s">
        <v>966</v>
      </c>
      <c r="G57" s="3" t="str">
        <f>IF(Start!$D$16="Please select",'Context variables'!C57,IFERROR(VLOOKUP(ROWS($G$3:G57),$B$3:$C$250,2,0),""))</f>
        <v>Costa Rica</v>
      </c>
    </row>
    <row r="58" spans="1:7" x14ac:dyDescent="0.25">
      <c r="A58" s="3" t="s">
        <v>1006</v>
      </c>
      <c r="B58" s="3">
        <f>IF(ISNUMBER(SEARCH(Start!$D$16,'Context variables'!C58)),MAX($B$1:B57)+1,0)</f>
        <v>0</v>
      </c>
      <c r="C58" s="3" t="s">
        <v>799</v>
      </c>
      <c r="G58" s="3" t="str">
        <f>IF(Start!$D$16="Please select",'Context variables'!C58,IFERROR(VLOOKUP(ROWS($G$3:G58),$B$3:$C$250,2,0),""))</f>
        <v>Côte d’Ivoire</v>
      </c>
    </row>
    <row r="59" spans="1:7" x14ac:dyDescent="0.25">
      <c r="A59" s="3" t="s">
        <v>1012</v>
      </c>
      <c r="B59" s="3">
        <f>IF(ISNUMBER(SEARCH(Start!$D$16,'Context variables'!C59)),MAX($B$1:B58)+1,0)</f>
        <v>0</v>
      </c>
      <c r="C59" s="3" t="s">
        <v>871</v>
      </c>
      <c r="G59" s="3" t="str">
        <f>IF(Start!$D$16="Please select",'Context variables'!C59,IFERROR(VLOOKUP(ROWS($G$3:G59),$B$3:$C$250,2,0),""))</f>
        <v>Croatia</v>
      </c>
    </row>
    <row r="60" spans="1:7" x14ac:dyDescent="0.25">
      <c r="A60" s="3" t="s">
        <v>1017</v>
      </c>
      <c r="B60" s="3">
        <f>IF(ISNUMBER(SEARCH(Start!$D$16,'Context variables'!C60)),MAX($B$1:B59)+1,0)</f>
        <v>0</v>
      </c>
      <c r="C60" s="3" t="s">
        <v>981</v>
      </c>
      <c r="G60" s="3" t="str">
        <f>IF(Start!$D$16="Please select",'Context variables'!C60,IFERROR(VLOOKUP(ROWS($G$3:G60),$B$3:$C$250,2,0),""))</f>
        <v>Cuba</v>
      </c>
    </row>
    <row r="61" spans="1:7" x14ac:dyDescent="0.25">
      <c r="A61" s="3" t="s">
        <v>1017</v>
      </c>
      <c r="B61" s="3">
        <f>IF(ISNUMBER(SEARCH(Start!$D$16,'Context variables'!C61)),MAX($B$1:B60)+1,0)</f>
        <v>0</v>
      </c>
      <c r="C61" s="3" t="s">
        <v>982</v>
      </c>
      <c r="G61" s="3" t="str">
        <f>IF(Start!$D$16="Please select",'Context variables'!C61,IFERROR(VLOOKUP(ROWS($G$3:G61),$B$3:$C$250,2,0),""))</f>
        <v>Curaçao</v>
      </c>
    </row>
    <row r="62" spans="1:7" x14ac:dyDescent="0.25">
      <c r="A62" s="3" t="s">
        <v>1011</v>
      </c>
      <c r="B62" s="3">
        <f>IF(ISNUMBER(SEARCH(Start!$D$16,'Context variables'!C62)),MAX($B$1:B61)+1,0)</f>
        <v>0</v>
      </c>
      <c r="C62" s="3" t="s">
        <v>848</v>
      </c>
      <c r="G62" s="3" t="str">
        <f>IF(Start!$D$16="Please select",'Context variables'!C62,IFERROR(VLOOKUP(ROWS($G$3:G62),$B$3:$C$250,2,0),""))</f>
        <v>Cyprus</v>
      </c>
    </row>
    <row r="63" spans="1:7" x14ac:dyDescent="0.25">
      <c r="A63" s="3" t="s">
        <v>1012</v>
      </c>
      <c r="B63" s="3">
        <f>IF(ISNUMBER(SEARCH(Start!$D$16,'Context variables'!C63)),MAX($B$1:B62)+1,0)</f>
        <v>0</v>
      </c>
      <c r="C63" s="3" t="s">
        <v>872</v>
      </c>
      <c r="G63" s="3" t="str">
        <f>IF(Start!$D$16="Please select",'Context variables'!C63,IFERROR(VLOOKUP(ROWS($G$3:G63),$B$3:$C$250,2,0),""))</f>
        <v>Czechia</v>
      </c>
    </row>
    <row r="64" spans="1:7" x14ac:dyDescent="0.25">
      <c r="A64" s="3" t="s">
        <v>1008</v>
      </c>
      <c r="B64" s="3">
        <f>IF(ISNUMBER(SEARCH(Start!$D$16,'Context variables'!C64)),MAX($B$1:B63)+1,0)</f>
        <v>0</v>
      </c>
      <c r="C64" s="3" t="s">
        <v>821</v>
      </c>
      <c r="G64" s="3" t="str">
        <f>IF(Start!$D$16="Please select",'Context variables'!C64,IFERROR(VLOOKUP(ROWS($G$3:G64),$B$3:$C$250,2,0),""))</f>
        <v>Democratic People's Republic of Korea</v>
      </c>
    </row>
    <row r="65" spans="1:7" x14ac:dyDescent="0.25">
      <c r="A65" s="3" t="s">
        <v>1003</v>
      </c>
      <c r="B65" s="3">
        <f>IF(ISNUMBER(SEARCH(Start!$D$16,'Context variables'!C65)),MAX($B$1:B64)+1,0)</f>
        <v>0</v>
      </c>
      <c r="C65" s="3" t="s">
        <v>780</v>
      </c>
      <c r="G65" s="3" t="str">
        <f>IF(Start!$D$16="Please select",'Context variables'!C65,IFERROR(VLOOKUP(ROWS($G$3:G65),$B$3:$C$250,2,0),""))</f>
        <v>Democratic Republic of the Congo</v>
      </c>
    </row>
    <row r="66" spans="1:7" x14ac:dyDescent="0.25">
      <c r="A66" s="3" t="s">
        <v>1012</v>
      </c>
      <c r="B66" s="3">
        <f>IF(ISNUMBER(SEARCH(Start!$D$16,'Context variables'!C66)),MAX($B$1:B65)+1,0)</f>
        <v>0</v>
      </c>
      <c r="C66" s="3" t="s">
        <v>873</v>
      </c>
      <c r="G66" s="3" t="str">
        <f>IF(Start!$D$16="Please select",'Context variables'!C66,IFERROR(VLOOKUP(ROWS($G$3:G66),$B$3:$C$250,2,0),""))</f>
        <v>Denmark</v>
      </c>
    </row>
    <row r="67" spans="1:7" x14ac:dyDescent="0.25">
      <c r="A67" s="3" t="s">
        <v>1002</v>
      </c>
      <c r="B67" s="3">
        <f>IF(ISNUMBER(SEARCH(Start!$D$16,'Context variables'!C67)),MAX($B$1:B66)+1,0)</f>
        <v>0</v>
      </c>
      <c r="C67" s="3" t="s">
        <v>756</v>
      </c>
      <c r="D67" s="5"/>
      <c r="G67" s="3" t="str">
        <f>IF(Start!$D$16="Please select",'Context variables'!C67,IFERROR(VLOOKUP(ROWS($G$3:G67),$B$3:$C$250,2,0),""))</f>
        <v>Djibouti</v>
      </c>
    </row>
    <row r="68" spans="1:7" x14ac:dyDescent="0.25">
      <c r="A68" s="3" t="s">
        <v>1017</v>
      </c>
      <c r="B68" s="3">
        <f>IF(ISNUMBER(SEARCH(Start!$D$16,'Context variables'!C68)),MAX($B$1:B67)+1,0)</f>
        <v>0</v>
      </c>
      <c r="C68" s="3" t="s">
        <v>983</v>
      </c>
      <c r="G68" s="3" t="str">
        <f>IF(Start!$D$16="Please select",'Context variables'!C68,IFERROR(VLOOKUP(ROWS($G$3:G68),$B$3:$C$250,2,0),""))</f>
        <v>Dominica</v>
      </c>
    </row>
    <row r="69" spans="1:7" x14ac:dyDescent="0.25">
      <c r="A69" s="3" t="s">
        <v>1017</v>
      </c>
      <c r="B69" s="3">
        <f>IF(ISNUMBER(SEARCH(Start!$D$16,'Context variables'!C69)),MAX($B$1:B68)+1,0)</f>
        <v>0</v>
      </c>
      <c r="C69" s="3" t="s">
        <v>984</v>
      </c>
      <c r="G69" s="3" t="str">
        <f>IF(Start!$D$16="Please select",'Context variables'!C69,IFERROR(VLOOKUP(ROWS($G$3:G69),$B$3:$C$250,2,0),""))</f>
        <v>Dominican Republic</v>
      </c>
    </row>
    <row r="70" spans="1:7" x14ac:dyDescent="0.25">
      <c r="A70" s="3" t="s">
        <v>1015</v>
      </c>
      <c r="B70" s="3">
        <f>IF(ISNUMBER(SEARCH(Start!$D$16,'Context variables'!C70)),MAX($B$1:B69)+1,0)</f>
        <v>0</v>
      </c>
      <c r="C70" s="3" t="s">
        <v>955</v>
      </c>
      <c r="G70" s="3" t="str">
        <f>IF(Start!$D$16="Please select",'Context variables'!C70,IFERROR(VLOOKUP(ROWS($G$3:G70),$B$3:$C$250,2,0),""))</f>
        <v>Ecuador</v>
      </c>
    </row>
    <row r="71" spans="1:7" x14ac:dyDescent="0.25">
      <c r="A71" s="3" t="s">
        <v>1004</v>
      </c>
      <c r="B71" s="3">
        <f>IF(ISNUMBER(SEARCH(Start!$D$16,'Context variables'!C71)),MAX($B$1:B70)+1,0)</f>
        <v>0</v>
      </c>
      <c r="C71" s="3" t="s">
        <v>785</v>
      </c>
      <c r="G71" s="3" t="str">
        <f>IF(Start!$D$16="Please select",'Context variables'!C71,IFERROR(VLOOKUP(ROWS($G$3:G71),$B$3:$C$250,2,0),""))</f>
        <v>Egypt</v>
      </c>
    </row>
    <row r="72" spans="1:7" x14ac:dyDescent="0.25">
      <c r="A72" s="3" t="s">
        <v>1016</v>
      </c>
      <c r="B72" s="3">
        <f>IF(ISNUMBER(SEARCH(Start!$D$16,'Context variables'!C72)),MAX($B$1:B71)+1,0)</f>
        <v>0</v>
      </c>
      <c r="C72" s="3" t="s">
        <v>967</v>
      </c>
      <c r="G72" s="3" t="str">
        <f>IF(Start!$D$16="Please select",'Context variables'!C72,IFERROR(VLOOKUP(ROWS($G$3:G72),$B$3:$C$250,2,0),""))</f>
        <v>El Salvador</v>
      </c>
    </row>
    <row r="73" spans="1:7" x14ac:dyDescent="0.25">
      <c r="A73" s="3" t="s">
        <v>1003</v>
      </c>
      <c r="B73" s="3">
        <f>IF(ISNUMBER(SEARCH(Start!$D$16,'Context variables'!C73)),MAX($B$1:B72)+1,0)</f>
        <v>0</v>
      </c>
      <c r="C73" s="3" t="s">
        <v>781</v>
      </c>
      <c r="G73" s="3" t="str">
        <f>IF(Start!$D$16="Please select",'Context variables'!C73,IFERROR(VLOOKUP(ROWS($G$3:G73),$B$3:$C$250,2,0),""))</f>
        <v>Equatorial Guinea</v>
      </c>
    </row>
    <row r="74" spans="1:7" x14ac:dyDescent="0.25">
      <c r="A74" s="3" t="s">
        <v>1002</v>
      </c>
      <c r="B74" s="3">
        <f>IF(ISNUMBER(SEARCH(Start!$D$16,'Context variables'!C74)),MAX($B$1:B73)+1,0)</f>
        <v>0</v>
      </c>
      <c r="C74" s="3" t="s">
        <v>757</v>
      </c>
      <c r="D74" s="5"/>
      <c r="G74" s="3" t="str">
        <f>IF(Start!$D$16="Please select",'Context variables'!C74,IFERROR(VLOOKUP(ROWS($G$3:G74),$B$3:$C$250,2,0),""))</f>
        <v>Eritrea</v>
      </c>
    </row>
    <row r="75" spans="1:7" x14ac:dyDescent="0.25">
      <c r="A75" s="3" t="s">
        <v>1012</v>
      </c>
      <c r="B75" s="3">
        <f>IF(ISNUMBER(SEARCH(Start!$D$16,'Context variables'!C75)),MAX($B$1:B74)+1,0)</f>
        <v>0</v>
      </c>
      <c r="C75" s="3" t="s">
        <v>874</v>
      </c>
      <c r="G75" s="3" t="str">
        <f>IF(Start!$D$16="Please select",'Context variables'!C75,IFERROR(VLOOKUP(ROWS($G$3:G75),$B$3:$C$250,2,0),""))</f>
        <v>Estonia</v>
      </c>
    </row>
    <row r="76" spans="1:7" x14ac:dyDescent="0.25">
      <c r="A76" s="3" t="s">
        <v>1005</v>
      </c>
      <c r="B76" s="3">
        <f>IF(ISNUMBER(SEARCH(Start!$D$16,'Context variables'!C76)),MAX($B$1:B75)+1,0)</f>
        <v>0</v>
      </c>
      <c r="C76" s="3" t="s">
        <v>792</v>
      </c>
      <c r="G76" s="3" t="str">
        <f>IF(Start!$D$16="Please select",'Context variables'!C76,IFERROR(VLOOKUP(ROWS($G$3:G76),$B$3:$C$250,2,0),""))</f>
        <v>Eswatini</v>
      </c>
    </row>
    <row r="77" spans="1:7" x14ac:dyDescent="0.25">
      <c r="A77" s="3" t="s">
        <v>1002</v>
      </c>
      <c r="B77" s="3">
        <f>IF(ISNUMBER(SEARCH(Start!$D$16,'Context variables'!C77)),MAX($B$1:B76)+1,0)</f>
        <v>0</v>
      </c>
      <c r="C77" s="3" t="s">
        <v>758</v>
      </c>
      <c r="G77" s="3" t="str">
        <f>IF(Start!$D$16="Please select",'Context variables'!C77,IFERROR(VLOOKUP(ROWS($G$3:G77),$B$3:$C$250,2,0),""))</f>
        <v>Ethiopia</v>
      </c>
    </row>
    <row r="78" spans="1:7" x14ac:dyDescent="0.25">
      <c r="A78" s="3" t="s">
        <v>1015</v>
      </c>
      <c r="B78" s="3">
        <f>IF(ISNUMBER(SEARCH(Start!$D$16,'Context variables'!C78)),MAX($B$1:B77)+1,0)</f>
        <v>0</v>
      </c>
      <c r="C78" s="3" t="s">
        <v>956</v>
      </c>
      <c r="G78" s="3" t="str">
        <f>IF(Start!$D$16="Please select",'Context variables'!C78,IFERROR(VLOOKUP(ROWS($G$3:G78),$B$3:$C$250,2,0),""))</f>
        <v>Falkland Islands (Malvinas)</v>
      </c>
    </row>
    <row r="79" spans="1:7" x14ac:dyDescent="0.25">
      <c r="A79" s="3" t="s">
        <v>1012</v>
      </c>
      <c r="B79" s="3">
        <f>IF(ISNUMBER(SEARCH(Start!$D$16,'Context variables'!C79)),MAX($B$1:B78)+1,0)</f>
        <v>0</v>
      </c>
      <c r="C79" s="3" t="s">
        <v>875</v>
      </c>
      <c r="G79" s="3" t="str">
        <f>IF(Start!$D$16="Please select",'Context variables'!C79,IFERROR(VLOOKUP(ROWS($G$3:G79),$B$3:$C$250,2,0),""))</f>
        <v>Faroe Islands</v>
      </c>
    </row>
    <row r="80" spans="1:7" x14ac:dyDescent="0.25">
      <c r="A80" s="3" t="s">
        <v>1013</v>
      </c>
      <c r="B80" s="3">
        <f>IF(ISNUMBER(SEARCH(Start!$D$16,'Context variables'!C80)),MAX($B$1:B79)+1,0)</f>
        <v>0</v>
      </c>
      <c r="C80" s="3" t="s">
        <v>920</v>
      </c>
      <c r="G80" s="3" t="str">
        <f>IF(Start!$D$16="Please select",'Context variables'!C80,IFERROR(VLOOKUP(ROWS($G$3:G80),$B$3:$C$250,2,0),""))</f>
        <v>Fiji</v>
      </c>
    </row>
    <row r="81" spans="1:7" x14ac:dyDescent="0.25">
      <c r="A81" s="3" t="s">
        <v>1012</v>
      </c>
      <c r="B81" s="3">
        <f>IF(ISNUMBER(SEARCH(Start!$D$16,'Context variables'!C81)),MAX($B$1:B80)+1,0)</f>
        <v>0</v>
      </c>
      <c r="C81" s="3" t="s">
        <v>876</v>
      </c>
      <c r="G81" s="3" t="str">
        <f>IF(Start!$D$16="Please select",'Context variables'!C81,IFERROR(VLOOKUP(ROWS($G$3:G81),$B$3:$C$250,2,0),""))</f>
        <v>Finland</v>
      </c>
    </row>
    <row r="82" spans="1:7" x14ac:dyDescent="0.25">
      <c r="A82" s="3" t="s">
        <v>1012</v>
      </c>
      <c r="B82" s="3">
        <f>IF(ISNUMBER(SEARCH(Start!$D$16,'Context variables'!C82)),MAX($B$1:B81)+1,0)</f>
        <v>0</v>
      </c>
      <c r="C82" s="3" t="s">
        <v>877</v>
      </c>
      <c r="G82" s="3" t="str">
        <f>IF(Start!$D$16="Please select",'Context variables'!C82,IFERROR(VLOOKUP(ROWS($G$3:G82),$B$3:$C$250,2,0),""))</f>
        <v>France</v>
      </c>
    </row>
    <row r="83" spans="1:7" x14ac:dyDescent="0.25">
      <c r="A83" s="3" t="s">
        <v>1015</v>
      </c>
      <c r="B83" s="3">
        <f>IF(ISNUMBER(SEARCH(Start!$D$16,'Context variables'!C83)),MAX($B$1:B82)+1,0)</f>
        <v>0</v>
      </c>
      <c r="C83" s="3" t="s">
        <v>957</v>
      </c>
      <c r="G83" s="3" t="str">
        <f>IF(Start!$D$16="Please select",'Context variables'!C83,IFERROR(VLOOKUP(ROWS($G$3:G83),$B$3:$C$250,2,0),""))</f>
        <v>French Guiana</v>
      </c>
    </row>
    <row r="84" spans="1:7" x14ac:dyDescent="0.25">
      <c r="A84" s="3" t="s">
        <v>1013</v>
      </c>
      <c r="B84" s="3">
        <f>IF(ISNUMBER(SEARCH(Start!$D$16,'Context variables'!C84)),MAX($B$1:B83)+1,0)</f>
        <v>0</v>
      </c>
      <c r="C84" s="3" t="s">
        <v>921</v>
      </c>
      <c r="G84" s="3" t="str">
        <f>IF(Start!$D$16="Please select",'Context variables'!C84,IFERROR(VLOOKUP(ROWS($G$3:G84),$B$3:$C$250,2,0),""))</f>
        <v>French Polynesia</v>
      </c>
    </row>
    <row r="85" spans="1:7" x14ac:dyDescent="0.25">
      <c r="A85" s="3" t="s">
        <v>1002</v>
      </c>
      <c r="B85" s="3">
        <f>IF(ISNUMBER(SEARCH(Start!$D$16,'Context variables'!C85)),MAX($B$1:B84)+1,0)</f>
        <v>0</v>
      </c>
      <c r="C85" s="3" t="s">
        <v>759</v>
      </c>
      <c r="G85" s="3" t="str">
        <f>IF(Start!$D$16="Please select",'Context variables'!C85,IFERROR(VLOOKUP(ROWS($G$3:G85),$B$3:$C$250,2,0),""))</f>
        <v>French Southern Territories</v>
      </c>
    </row>
    <row r="86" spans="1:7" x14ac:dyDescent="0.25">
      <c r="A86" s="3" t="s">
        <v>1003</v>
      </c>
      <c r="B86" s="3">
        <f>IF(ISNUMBER(SEARCH(Start!$D$16,'Context variables'!C86)),MAX($B$1:B85)+1,0)</f>
        <v>0</v>
      </c>
      <c r="C86" s="3" t="s">
        <v>782</v>
      </c>
      <c r="G86" s="3" t="str">
        <f>IF(Start!$D$16="Please select",'Context variables'!C86,IFERROR(VLOOKUP(ROWS($G$3:G86),$B$3:$C$250,2,0),""))</f>
        <v>Gabon</v>
      </c>
    </row>
    <row r="87" spans="1:7" x14ac:dyDescent="0.25">
      <c r="A87" s="3" t="s">
        <v>1006</v>
      </c>
      <c r="B87" s="3">
        <f>IF(ISNUMBER(SEARCH(Start!$D$16,'Context variables'!C87)),MAX($B$1:B86)+1,0)</f>
        <v>0</v>
      </c>
      <c r="C87" s="3" t="s">
        <v>800</v>
      </c>
      <c r="G87" s="3" t="str">
        <f>IF(Start!$D$16="Please select",'Context variables'!C87,IFERROR(VLOOKUP(ROWS($G$3:G87),$B$3:$C$250,2,0),""))</f>
        <v>Gambia</v>
      </c>
    </row>
    <row r="88" spans="1:7" x14ac:dyDescent="0.25">
      <c r="A88" s="3" t="s">
        <v>1011</v>
      </c>
      <c r="B88" s="3">
        <f>IF(ISNUMBER(SEARCH(Start!$D$16,'Context variables'!C88)),MAX($B$1:B87)+1,0)</f>
        <v>0</v>
      </c>
      <c r="C88" s="3" t="s">
        <v>849</v>
      </c>
      <c r="G88" s="3" t="str">
        <f>IF(Start!$D$16="Please select",'Context variables'!C88,IFERROR(VLOOKUP(ROWS($G$3:G88),$B$3:$C$250,2,0),""))</f>
        <v>Georgia</v>
      </c>
    </row>
    <row r="89" spans="1:7" x14ac:dyDescent="0.25">
      <c r="A89" s="3" t="s">
        <v>1012</v>
      </c>
      <c r="B89" s="3">
        <f>IF(ISNUMBER(SEARCH(Start!$D$16,'Context variables'!C89)),MAX($B$1:B88)+1,0)</f>
        <v>0</v>
      </c>
      <c r="C89" s="3" t="s">
        <v>878</v>
      </c>
      <c r="G89" s="3" t="str">
        <f>IF(Start!$D$16="Please select",'Context variables'!C89,IFERROR(VLOOKUP(ROWS($G$3:G89),$B$3:$C$250,2,0),""))</f>
        <v>Germany</v>
      </c>
    </row>
    <row r="90" spans="1:7" x14ac:dyDescent="0.25">
      <c r="A90" s="3" t="s">
        <v>1006</v>
      </c>
      <c r="B90" s="3">
        <f>IF(ISNUMBER(SEARCH(Start!$D$16,'Context variables'!C90)),MAX($B$1:B89)+1,0)</f>
        <v>0</v>
      </c>
      <c r="C90" s="3" t="s">
        <v>801</v>
      </c>
      <c r="G90" s="3" t="str">
        <f>IF(Start!$D$16="Please select",'Context variables'!C90,IFERROR(VLOOKUP(ROWS($G$3:G90),$B$3:$C$250,2,0),""))</f>
        <v>Ghana</v>
      </c>
    </row>
    <row r="91" spans="1:7" x14ac:dyDescent="0.25">
      <c r="A91" s="3" t="s">
        <v>1012</v>
      </c>
      <c r="B91" s="3">
        <f>IF(ISNUMBER(SEARCH(Start!$D$16,'Context variables'!C91)),MAX($B$1:B90)+1,0)</f>
        <v>0</v>
      </c>
      <c r="C91" s="3" t="s">
        <v>879</v>
      </c>
      <c r="G91" s="3" t="str">
        <f>IF(Start!$D$16="Please select",'Context variables'!C91,IFERROR(VLOOKUP(ROWS($G$3:G91),$B$3:$C$250,2,0),""))</f>
        <v>Gibraltar</v>
      </c>
    </row>
    <row r="92" spans="1:7" x14ac:dyDescent="0.25">
      <c r="A92" s="3" t="s">
        <v>1012</v>
      </c>
      <c r="B92" s="3">
        <f>IF(ISNUMBER(SEARCH(Start!$D$16,'Context variables'!C92)),MAX($B$1:B91)+1,0)</f>
        <v>0</v>
      </c>
      <c r="C92" s="3" t="s">
        <v>880</v>
      </c>
      <c r="G92" s="3" t="str">
        <f>IF(Start!$D$16="Please select",'Context variables'!C92,IFERROR(VLOOKUP(ROWS($G$3:G92),$B$3:$C$250,2,0),""))</f>
        <v>Greece</v>
      </c>
    </row>
    <row r="93" spans="1:7" x14ac:dyDescent="0.25">
      <c r="A93" s="3" t="s">
        <v>1014</v>
      </c>
      <c r="B93" s="3">
        <f>IF(ISNUMBER(SEARCH(Start!$D$16,'Context variables'!C93)),MAX($B$1:B92)+1,0)</f>
        <v>0</v>
      </c>
      <c r="C93" s="3" t="s">
        <v>946</v>
      </c>
      <c r="G93" s="3" t="str">
        <f>IF(Start!$D$16="Please select",'Context variables'!C93,IFERROR(VLOOKUP(ROWS($G$3:G93),$B$3:$C$250,2,0),""))</f>
        <v>Greenland</v>
      </c>
    </row>
    <row r="94" spans="1:7" x14ac:dyDescent="0.25">
      <c r="A94" s="3" t="s">
        <v>1017</v>
      </c>
      <c r="B94" s="3">
        <f>IF(ISNUMBER(SEARCH(Start!$D$16,'Context variables'!C94)),MAX($B$1:B93)+1,0)</f>
        <v>0</v>
      </c>
      <c r="C94" s="3" t="s">
        <v>985</v>
      </c>
      <c r="G94" s="3" t="str">
        <f>IF(Start!$D$16="Please select",'Context variables'!C94,IFERROR(VLOOKUP(ROWS($G$3:G94),$B$3:$C$250,2,0),""))</f>
        <v>Grenada</v>
      </c>
    </row>
    <row r="95" spans="1:7" x14ac:dyDescent="0.25">
      <c r="A95" s="3" t="s">
        <v>1017</v>
      </c>
      <c r="B95" s="3">
        <f>IF(ISNUMBER(SEARCH(Start!$D$16,'Context variables'!C95)),MAX($B$1:B94)+1,0)</f>
        <v>0</v>
      </c>
      <c r="C95" s="3" t="s">
        <v>986</v>
      </c>
      <c r="G95" s="3" t="str">
        <f>IF(Start!$D$16="Please select",'Context variables'!C95,IFERROR(VLOOKUP(ROWS($G$3:G95),$B$3:$C$250,2,0),""))</f>
        <v>Guadeloupe</v>
      </c>
    </row>
    <row r="96" spans="1:7" x14ac:dyDescent="0.25">
      <c r="A96" s="3" t="s">
        <v>1013</v>
      </c>
      <c r="B96" s="3">
        <f>IF(ISNUMBER(SEARCH(Start!$D$16,'Context variables'!C96)),MAX($B$1:B95)+1,0)</f>
        <v>0</v>
      </c>
      <c r="C96" s="3" t="s">
        <v>922</v>
      </c>
      <c r="G96" s="3" t="str">
        <f>IF(Start!$D$16="Please select",'Context variables'!C96,IFERROR(VLOOKUP(ROWS($G$3:G96),$B$3:$C$250,2,0),""))</f>
        <v>Guam</v>
      </c>
    </row>
    <row r="97" spans="1:7" x14ac:dyDescent="0.25">
      <c r="A97" s="3" t="s">
        <v>1016</v>
      </c>
      <c r="B97" s="3">
        <f>IF(ISNUMBER(SEARCH(Start!$D$16,'Context variables'!C97)),MAX($B$1:B96)+1,0)</f>
        <v>0</v>
      </c>
      <c r="C97" s="3" t="s">
        <v>968</v>
      </c>
      <c r="G97" s="3" t="str">
        <f>IF(Start!$D$16="Please select",'Context variables'!C97,IFERROR(VLOOKUP(ROWS($G$3:G97),$B$3:$C$250,2,0),""))</f>
        <v>Guatemala</v>
      </c>
    </row>
    <row r="98" spans="1:7" x14ac:dyDescent="0.25">
      <c r="A98" s="3" t="s">
        <v>1012</v>
      </c>
      <c r="B98" s="3">
        <f>IF(ISNUMBER(SEARCH(Start!$D$16,'Context variables'!C98)),MAX($B$1:B97)+1,0)</f>
        <v>0</v>
      </c>
      <c r="C98" s="3" t="s">
        <v>881</v>
      </c>
      <c r="G98" s="3" t="str">
        <f>IF(Start!$D$16="Please select",'Context variables'!C98,IFERROR(VLOOKUP(ROWS($G$3:G98),$B$3:$C$250,2,0),""))</f>
        <v>Guernsey</v>
      </c>
    </row>
    <row r="99" spans="1:7" x14ac:dyDescent="0.25">
      <c r="A99" s="3" t="s">
        <v>1006</v>
      </c>
      <c r="B99" s="3">
        <f>IF(ISNUMBER(SEARCH(Start!$D$16,'Context variables'!C99)),MAX($B$1:B98)+1,0)</f>
        <v>0</v>
      </c>
      <c r="C99" s="3" t="s">
        <v>802</v>
      </c>
      <c r="G99" s="3" t="str">
        <f>IF(Start!$D$16="Please select",'Context variables'!C99,IFERROR(VLOOKUP(ROWS($G$3:G99),$B$3:$C$250,2,0),""))</f>
        <v>Guinea</v>
      </c>
    </row>
    <row r="100" spans="1:7" x14ac:dyDescent="0.25">
      <c r="A100" s="3" t="s">
        <v>1006</v>
      </c>
      <c r="B100" s="3">
        <f>IF(ISNUMBER(SEARCH(Start!$D$16,'Context variables'!C100)),MAX($B$1:B99)+1,0)</f>
        <v>0</v>
      </c>
      <c r="C100" s="3" t="s">
        <v>803</v>
      </c>
      <c r="G100" s="3" t="str">
        <f>IF(Start!$D$16="Please select",'Context variables'!C100,IFERROR(VLOOKUP(ROWS($G$3:G100),$B$3:$C$250,2,0),""))</f>
        <v>Guinea-Bissau</v>
      </c>
    </row>
    <row r="101" spans="1:7" x14ac:dyDescent="0.25">
      <c r="A101" s="3" t="s">
        <v>1015</v>
      </c>
      <c r="B101" s="3">
        <f>IF(ISNUMBER(SEARCH(Start!$D$16,'Context variables'!C101)),MAX($B$1:B100)+1,0)</f>
        <v>0</v>
      </c>
      <c r="C101" s="3" t="s">
        <v>958</v>
      </c>
      <c r="G101" s="3" t="str">
        <f>IF(Start!$D$16="Please select",'Context variables'!C101,IFERROR(VLOOKUP(ROWS($G$3:G101),$B$3:$C$250,2,0),""))</f>
        <v>Guyana</v>
      </c>
    </row>
    <row r="102" spans="1:7" x14ac:dyDescent="0.25">
      <c r="A102" s="3" t="s">
        <v>1017</v>
      </c>
      <c r="B102" s="3">
        <f>IF(ISNUMBER(SEARCH(Start!$D$16,'Context variables'!C102)),MAX($B$1:B101)+1,0)</f>
        <v>0</v>
      </c>
      <c r="C102" s="3" t="s">
        <v>987</v>
      </c>
      <c r="G102" s="3" t="str">
        <f>IF(Start!$D$16="Please select",'Context variables'!C102,IFERROR(VLOOKUP(ROWS($G$3:G102),$B$3:$C$250,2,0),""))</f>
        <v>Haiti</v>
      </c>
    </row>
    <row r="103" spans="1:7" x14ac:dyDescent="0.25">
      <c r="A103" s="3" t="s">
        <v>1013</v>
      </c>
      <c r="B103" s="3">
        <f>IF(ISNUMBER(SEARCH(Start!$D$16,'Context variables'!C103)),MAX($B$1:B102)+1,0)</f>
        <v>0</v>
      </c>
      <c r="C103" s="3" t="s">
        <v>923</v>
      </c>
      <c r="G103" s="3" t="str">
        <f>IF(Start!$D$16="Please select",'Context variables'!C103,IFERROR(VLOOKUP(ROWS($G$3:G103),$B$3:$C$250,2,0),""))</f>
        <v>Heard Island and McDonald Islands</v>
      </c>
    </row>
    <row r="104" spans="1:7" x14ac:dyDescent="0.25">
      <c r="A104" s="3" t="s">
        <v>1012</v>
      </c>
      <c r="B104" s="3">
        <f>IF(ISNUMBER(SEARCH(Start!$D$16,'Context variables'!C104)),MAX($B$1:B103)+1,0)</f>
        <v>0</v>
      </c>
      <c r="C104" s="3" t="s">
        <v>882</v>
      </c>
      <c r="G104" s="3" t="str">
        <f>IF(Start!$D$16="Please select",'Context variables'!C104,IFERROR(VLOOKUP(ROWS($G$3:G104),$B$3:$C$250,2,0),""))</f>
        <v>Holy See</v>
      </c>
    </row>
    <row r="105" spans="1:7" x14ac:dyDescent="0.25">
      <c r="A105" s="3" t="s">
        <v>1016</v>
      </c>
      <c r="B105" s="3">
        <f>IF(ISNUMBER(SEARCH(Start!$D$16,'Context variables'!C105)),MAX($B$1:B104)+1,0)</f>
        <v>0</v>
      </c>
      <c r="C105" s="3" t="s">
        <v>969</v>
      </c>
      <c r="G105" s="3" t="str">
        <f>IF(Start!$D$16="Please select",'Context variables'!C105,IFERROR(VLOOKUP(ROWS($G$3:G105),$B$3:$C$250,2,0),""))</f>
        <v>Honduras</v>
      </c>
    </row>
    <row r="106" spans="1:7" x14ac:dyDescent="0.25">
      <c r="A106" s="3" t="s">
        <v>1012</v>
      </c>
      <c r="B106" s="3">
        <f>IF(ISNUMBER(SEARCH(Start!$D$16,'Context variables'!C106)),MAX($B$1:B105)+1,0)</f>
        <v>0</v>
      </c>
      <c r="C106" s="3" t="s">
        <v>883</v>
      </c>
      <c r="G106" s="3" t="str">
        <f>IF(Start!$D$16="Please select",'Context variables'!C106,IFERROR(VLOOKUP(ROWS($G$3:G106),$B$3:$C$250,2,0),""))</f>
        <v>Hungary</v>
      </c>
    </row>
    <row r="107" spans="1:7" x14ac:dyDescent="0.25">
      <c r="A107" s="3" t="s">
        <v>1012</v>
      </c>
      <c r="B107" s="3">
        <f>IF(ISNUMBER(SEARCH(Start!$D$16,'Context variables'!C107)),MAX($B$1:B106)+1,0)</f>
        <v>0</v>
      </c>
      <c r="C107" s="3" t="s">
        <v>884</v>
      </c>
      <c r="G107" s="3" t="str">
        <f>IF(Start!$D$16="Please select",'Context variables'!C107,IFERROR(VLOOKUP(ROWS($G$3:G107),$B$3:$C$250,2,0),""))</f>
        <v>Iceland</v>
      </c>
    </row>
    <row r="108" spans="1:7" x14ac:dyDescent="0.25">
      <c r="A108" s="3" t="s">
        <v>1010</v>
      </c>
      <c r="B108" s="3">
        <f>IF(ISNUMBER(SEARCH(Start!$D$16,'Context variables'!C108)),MAX($B$1:B107)+1,0)</f>
        <v>0</v>
      </c>
      <c r="C108" s="3" t="s">
        <v>839</v>
      </c>
      <c r="G108" s="3" t="str">
        <f>IF(Start!$D$16="Please select",'Context variables'!C108,IFERROR(VLOOKUP(ROWS($G$3:G108),$B$3:$C$250,2,0),""))</f>
        <v>India</v>
      </c>
    </row>
    <row r="109" spans="1:7" x14ac:dyDescent="0.25">
      <c r="A109" s="3" t="s">
        <v>1009</v>
      </c>
      <c r="B109" s="3">
        <f>IF(ISNUMBER(SEARCH(Start!$D$16,'Context variables'!C109)),MAX($B$1:B108)+1,0)</f>
        <v>0</v>
      </c>
      <c r="C109" s="3" t="s">
        <v>827</v>
      </c>
      <c r="G109" s="3" t="str">
        <f>IF(Start!$D$16="Please select",'Context variables'!C109,IFERROR(VLOOKUP(ROWS($G$3:G109),$B$3:$C$250,2,0),""))</f>
        <v>Indonesia</v>
      </c>
    </row>
    <row r="110" spans="1:7" x14ac:dyDescent="0.25">
      <c r="A110" s="3" t="s">
        <v>1010</v>
      </c>
      <c r="B110" s="3">
        <f>IF(ISNUMBER(SEARCH(Start!$D$16,'Context variables'!C110)),MAX($B$1:B109)+1,0)</f>
        <v>0</v>
      </c>
      <c r="C110" s="3" t="s">
        <v>840</v>
      </c>
      <c r="G110" s="3" t="str">
        <f>IF(Start!$D$16="Please select",'Context variables'!C110,IFERROR(VLOOKUP(ROWS($G$3:G110),$B$3:$C$250,2,0),""))</f>
        <v>Iran</v>
      </c>
    </row>
    <row r="111" spans="1:7" x14ac:dyDescent="0.25">
      <c r="A111" s="3" t="s">
        <v>1011</v>
      </c>
      <c r="B111" s="3">
        <f>IF(ISNUMBER(SEARCH(Start!$D$16,'Context variables'!C111)),MAX($B$1:B110)+1,0)</f>
        <v>0</v>
      </c>
      <c r="C111" s="3" t="s">
        <v>850</v>
      </c>
      <c r="G111" s="3" t="str">
        <f>IF(Start!$D$16="Please select",'Context variables'!C111,IFERROR(VLOOKUP(ROWS($G$3:G111),$B$3:$C$250,2,0),""))</f>
        <v>Iraq</v>
      </c>
    </row>
    <row r="112" spans="1:7" x14ac:dyDescent="0.25">
      <c r="A112" s="3" t="s">
        <v>1012</v>
      </c>
      <c r="B112" s="3">
        <f>IF(ISNUMBER(SEARCH(Start!$D$16,'Context variables'!C112)),MAX($B$1:B111)+1,0)</f>
        <v>0</v>
      </c>
      <c r="C112" s="3" t="s">
        <v>885</v>
      </c>
      <c r="G112" s="3" t="str">
        <f>IF(Start!$D$16="Please select",'Context variables'!C112,IFERROR(VLOOKUP(ROWS($G$3:G112),$B$3:$C$250,2,0),""))</f>
        <v>Ireland</v>
      </c>
    </row>
    <row r="113" spans="1:7" x14ac:dyDescent="0.25">
      <c r="A113" s="3" t="s">
        <v>1012</v>
      </c>
      <c r="B113" s="3">
        <f>IF(ISNUMBER(SEARCH(Start!$D$16,'Context variables'!C113)),MAX($B$1:B112)+1,0)</f>
        <v>0</v>
      </c>
      <c r="C113" s="3" t="s">
        <v>886</v>
      </c>
      <c r="G113" s="3" t="str">
        <f>IF(Start!$D$16="Please select",'Context variables'!C113,IFERROR(VLOOKUP(ROWS($G$3:G113),$B$3:$C$250,2,0),""))</f>
        <v>Isle of Man</v>
      </c>
    </row>
    <row r="114" spans="1:7" x14ac:dyDescent="0.25">
      <c r="A114" s="3" t="s">
        <v>1011</v>
      </c>
      <c r="B114" s="3">
        <f>IF(ISNUMBER(SEARCH(Start!$D$16,'Context variables'!C114)),MAX($B$1:B113)+1,0)</f>
        <v>0</v>
      </c>
      <c r="C114" s="3" t="s">
        <v>851</v>
      </c>
      <c r="G114" s="3" t="str">
        <f>IF(Start!$D$16="Please select",'Context variables'!C114,IFERROR(VLOOKUP(ROWS($G$3:G114),$B$3:$C$250,2,0),""))</f>
        <v>Israel</v>
      </c>
    </row>
    <row r="115" spans="1:7" x14ac:dyDescent="0.25">
      <c r="A115" s="3" t="s">
        <v>1012</v>
      </c>
      <c r="B115" s="3">
        <f>IF(ISNUMBER(SEARCH(Start!$D$16,'Context variables'!C115)),MAX($B$1:B114)+1,0)</f>
        <v>0</v>
      </c>
      <c r="C115" s="3" t="s">
        <v>887</v>
      </c>
      <c r="G115" s="3" t="str">
        <f>IF(Start!$D$16="Please select",'Context variables'!C115,IFERROR(VLOOKUP(ROWS($G$3:G115),$B$3:$C$250,2,0),""))</f>
        <v>Italy</v>
      </c>
    </row>
    <row r="116" spans="1:7" x14ac:dyDescent="0.25">
      <c r="A116" s="3" t="s">
        <v>1017</v>
      </c>
      <c r="B116" s="3">
        <f>IF(ISNUMBER(SEARCH(Start!$D$16,'Context variables'!C116)),MAX($B$1:B115)+1,0)</f>
        <v>0</v>
      </c>
      <c r="C116" s="3" t="s">
        <v>988</v>
      </c>
      <c r="G116" s="3" t="str">
        <f>IF(Start!$D$16="Please select",'Context variables'!C116,IFERROR(VLOOKUP(ROWS($G$3:G116),$B$3:$C$250,2,0),""))</f>
        <v>Jamaica</v>
      </c>
    </row>
    <row r="117" spans="1:7" x14ac:dyDescent="0.25">
      <c r="A117" s="3" t="s">
        <v>1008</v>
      </c>
      <c r="B117" s="3">
        <f>IF(ISNUMBER(SEARCH(Start!$D$16,'Context variables'!C117)),MAX($B$1:B116)+1,0)</f>
        <v>0</v>
      </c>
      <c r="C117" s="3" t="s">
        <v>822</v>
      </c>
      <c r="G117" s="3" t="str">
        <f>IF(Start!$D$16="Please select",'Context variables'!C117,IFERROR(VLOOKUP(ROWS($G$3:G117),$B$3:$C$250,2,0),""))</f>
        <v>Japan</v>
      </c>
    </row>
    <row r="118" spans="1:7" x14ac:dyDescent="0.25">
      <c r="A118" s="3" t="s">
        <v>1012</v>
      </c>
      <c r="B118" s="3">
        <f>IF(ISNUMBER(SEARCH(Start!$D$16,'Context variables'!C118)),MAX($B$1:B117)+1,0)</f>
        <v>0</v>
      </c>
      <c r="C118" s="3" t="s">
        <v>888</v>
      </c>
      <c r="G118" s="3" t="str">
        <f>IF(Start!$D$16="Please select",'Context variables'!C118,IFERROR(VLOOKUP(ROWS($G$3:G118),$B$3:$C$250,2,0),""))</f>
        <v>Jersey</v>
      </c>
    </row>
    <row r="119" spans="1:7" x14ac:dyDescent="0.25">
      <c r="A119" s="3" t="s">
        <v>1011</v>
      </c>
      <c r="B119" s="3">
        <f>IF(ISNUMBER(SEARCH(Start!$D$16,'Context variables'!C119)),MAX($B$1:B118)+1,0)</f>
        <v>0</v>
      </c>
      <c r="C119" s="3" t="s">
        <v>852</v>
      </c>
      <c r="G119" s="3" t="str">
        <f>IF(Start!$D$16="Please select",'Context variables'!C119,IFERROR(VLOOKUP(ROWS($G$3:G119),$B$3:$C$250,2,0),""))</f>
        <v>Jordan</v>
      </c>
    </row>
    <row r="120" spans="1:7" x14ac:dyDescent="0.25">
      <c r="A120" s="3" t="s">
        <v>1007</v>
      </c>
      <c r="B120" s="3">
        <f>IF(ISNUMBER(SEARCH(Start!$D$16,'Context variables'!C120)),MAX($B$1:B119)+1,0)</f>
        <v>0</v>
      </c>
      <c r="C120" s="3" t="s">
        <v>813</v>
      </c>
      <c r="G120" s="3" t="str">
        <f>IF(Start!$D$16="Please select",'Context variables'!C120,IFERROR(VLOOKUP(ROWS($G$3:G120),$B$3:$C$250,2,0),""))</f>
        <v>Kazakhstan</v>
      </c>
    </row>
    <row r="121" spans="1:7" x14ac:dyDescent="0.25">
      <c r="A121" s="3" t="s">
        <v>1002</v>
      </c>
      <c r="B121" s="3">
        <f>IF(ISNUMBER(SEARCH(Start!$D$16,'Context variables'!C121)),MAX($B$1:B120)+1,0)</f>
        <v>0</v>
      </c>
      <c r="C121" s="3" t="s">
        <v>760</v>
      </c>
      <c r="G121" s="3" t="str">
        <f>IF(Start!$D$16="Please select",'Context variables'!C121,IFERROR(VLOOKUP(ROWS($G$3:G121),$B$3:$C$250,2,0),""))</f>
        <v>Kenya</v>
      </c>
    </row>
    <row r="122" spans="1:7" x14ac:dyDescent="0.25">
      <c r="A122" s="3" t="s">
        <v>1013</v>
      </c>
      <c r="B122" s="3">
        <f>IF(ISNUMBER(SEARCH(Start!$D$16,'Context variables'!C122)),MAX($B$1:B121)+1,0)</f>
        <v>0</v>
      </c>
      <c r="C122" s="3" t="s">
        <v>924</v>
      </c>
      <c r="G122" s="3" t="str">
        <f>IF(Start!$D$16="Please select",'Context variables'!C122,IFERROR(VLOOKUP(ROWS($G$3:G122),$B$3:$C$250,2,0),""))</f>
        <v>Kiribati</v>
      </c>
    </row>
    <row r="123" spans="1:7" x14ac:dyDescent="0.25">
      <c r="A123" s="3" t="s">
        <v>1011</v>
      </c>
      <c r="B123" s="3">
        <f>IF(ISNUMBER(SEARCH(Start!$D$16,'Context variables'!C123)),MAX($B$1:B122)+1,0)</f>
        <v>0</v>
      </c>
      <c r="C123" s="3" t="s">
        <v>853</v>
      </c>
      <c r="G123" s="3" t="str">
        <f>IF(Start!$D$16="Please select",'Context variables'!C123,IFERROR(VLOOKUP(ROWS($G$3:G123),$B$3:$C$250,2,0),""))</f>
        <v>Kuwait</v>
      </c>
    </row>
    <row r="124" spans="1:7" x14ac:dyDescent="0.25">
      <c r="A124" s="3" t="s">
        <v>1007</v>
      </c>
      <c r="B124" s="3">
        <f>IF(ISNUMBER(SEARCH(Start!$D$16,'Context variables'!C124)),MAX($B$1:B123)+1,0)</f>
        <v>0</v>
      </c>
      <c r="C124" s="3" t="s">
        <v>814</v>
      </c>
      <c r="G124" s="3" t="str">
        <f>IF(Start!$D$16="Please select",'Context variables'!C124,IFERROR(VLOOKUP(ROWS($G$3:G124),$B$3:$C$250,2,0),""))</f>
        <v>Kyrgyzstan</v>
      </c>
    </row>
    <row r="125" spans="1:7" x14ac:dyDescent="0.25">
      <c r="A125" s="3" t="s">
        <v>1009</v>
      </c>
      <c r="B125" s="3">
        <f>IF(ISNUMBER(SEARCH(Start!$D$16,'Context variables'!C125)),MAX($B$1:B124)+1,0)</f>
        <v>0</v>
      </c>
      <c r="C125" s="3" t="s">
        <v>828</v>
      </c>
      <c r="G125" s="3" t="str">
        <f>IF(Start!$D$16="Please select",'Context variables'!C125,IFERROR(VLOOKUP(ROWS($G$3:G125),$B$3:$C$250,2,0),""))</f>
        <v>Lao People's Democratic Republic</v>
      </c>
    </row>
    <row r="126" spans="1:7" x14ac:dyDescent="0.25">
      <c r="A126" s="3" t="s">
        <v>1012</v>
      </c>
      <c r="B126" s="3">
        <f>IF(ISNUMBER(SEARCH(Start!$D$16,'Context variables'!C126)),MAX($B$1:B125)+1,0)</f>
        <v>0</v>
      </c>
      <c r="C126" s="3" t="s">
        <v>889</v>
      </c>
      <c r="G126" s="3" t="str">
        <f>IF(Start!$D$16="Please select",'Context variables'!C126,IFERROR(VLOOKUP(ROWS($G$3:G126),$B$3:$C$250,2,0),""))</f>
        <v>Latvia</v>
      </c>
    </row>
    <row r="127" spans="1:7" x14ac:dyDescent="0.25">
      <c r="A127" s="3" t="s">
        <v>1011</v>
      </c>
      <c r="B127" s="3">
        <f>IF(ISNUMBER(SEARCH(Start!$D$16,'Context variables'!C127)),MAX($B$1:B126)+1,0)</f>
        <v>0</v>
      </c>
      <c r="C127" s="3" t="s">
        <v>854</v>
      </c>
      <c r="G127" s="3" t="str">
        <f>IF(Start!$D$16="Please select",'Context variables'!C127,IFERROR(VLOOKUP(ROWS($G$3:G127),$B$3:$C$250,2,0),""))</f>
        <v>Lebanon</v>
      </c>
    </row>
    <row r="128" spans="1:7" x14ac:dyDescent="0.25">
      <c r="A128" s="3" t="s">
        <v>1005</v>
      </c>
      <c r="B128" s="3">
        <f>IF(ISNUMBER(SEARCH(Start!$D$16,'Context variables'!C128)),MAX($B$1:B127)+1,0)</f>
        <v>0</v>
      </c>
      <c r="C128" s="3" t="s">
        <v>793</v>
      </c>
      <c r="G128" s="3" t="str">
        <f>IF(Start!$D$16="Please select",'Context variables'!C128,IFERROR(VLOOKUP(ROWS($G$3:G128),$B$3:$C$250,2,0),""))</f>
        <v>Lesotho</v>
      </c>
    </row>
    <row r="129" spans="1:7" x14ac:dyDescent="0.25">
      <c r="A129" s="3" t="s">
        <v>1006</v>
      </c>
      <c r="B129" s="3">
        <f>IF(ISNUMBER(SEARCH(Start!$D$16,'Context variables'!C129)),MAX($B$1:B128)+1,0)</f>
        <v>0</v>
      </c>
      <c r="C129" s="3" t="s">
        <v>804</v>
      </c>
      <c r="G129" s="3" t="str">
        <f>IF(Start!$D$16="Please select",'Context variables'!C129,IFERROR(VLOOKUP(ROWS($G$3:G129),$B$3:$C$250,2,0),""))</f>
        <v>Liberia</v>
      </c>
    </row>
    <row r="130" spans="1:7" x14ac:dyDescent="0.25">
      <c r="A130" s="3" t="s">
        <v>1004</v>
      </c>
      <c r="B130" s="3">
        <f>IF(ISNUMBER(SEARCH(Start!$D$16,'Context variables'!C130)),MAX($B$1:B129)+1,0)</f>
        <v>0</v>
      </c>
      <c r="C130" s="3" t="s">
        <v>786</v>
      </c>
      <c r="G130" s="3" t="str">
        <f>IF(Start!$D$16="Please select",'Context variables'!C130,IFERROR(VLOOKUP(ROWS($G$3:G130),$B$3:$C$250,2,0),""))</f>
        <v>Libya</v>
      </c>
    </row>
    <row r="131" spans="1:7" x14ac:dyDescent="0.25">
      <c r="A131" s="3" t="s">
        <v>1012</v>
      </c>
      <c r="B131" s="3">
        <f>IF(ISNUMBER(SEARCH(Start!$D$16,'Context variables'!C131)),MAX($B$1:B130)+1,0)</f>
        <v>0</v>
      </c>
      <c r="C131" s="3" t="s">
        <v>890</v>
      </c>
      <c r="G131" s="3" t="str">
        <f>IF(Start!$D$16="Please select",'Context variables'!C131,IFERROR(VLOOKUP(ROWS($G$3:G131),$B$3:$C$250,2,0),""))</f>
        <v>Liechtenstein</v>
      </c>
    </row>
    <row r="132" spans="1:7" x14ac:dyDescent="0.25">
      <c r="A132" s="3" t="s">
        <v>1012</v>
      </c>
      <c r="B132" s="3">
        <f>IF(ISNUMBER(SEARCH(Start!$D$16,'Context variables'!C132)),MAX($B$1:B131)+1,0)</f>
        <v>0</v>
      </c>
      <c r="C132" s="3" t="s">
        <v>891</v>
      </c>
      <c r="G132" s="3" t="str">
        <f>IF(Start!$D$16="Please select",'Context variables'!C132,IFERROR(VLOOKUP(ROWS($G$3:G132),$B$3:$C$250,2,0),""))</f>
        <v>Lithuania</v>
      </c>
    </row>
    <row r="133" spans="1:7" x14ac:dyDescent="0.25">
      <c r="A133" s="3" t="s">
        <v>1012</v>
      </c>
      <c r="B133" s="3">
        <f>IF(ISNUMBER(SEARCH(Start!$D$16,'Context variables'!C133)),MAX($B$1:B132)+1,0)</f>
        <v>0</v>
      </c>
      <c r="C133" s="3" t="s">
        <v>892</v>
      </c>
      <c r="G133" s="3" t="str">
        <f>IF(Start!$D$16="Please select",'Context variables'!C133,IFERROR(VLOOKUP(ROWS($G$3:G133),$B$3:$C$250,2,0),""))</f>
        <v>Luxembourg</v>
      </c>
    </row>
    <row r="134" spans="1:7" x14ac:dyDescent="0.25">
      <c r="A134" s="3" t="s">
        <v>1002</v>
      </c>
      <c r="B134" s="3">
        <f>IF(ISNUMBER(SEARCH(Start!$D$16,'Context variables'!C134)),MAX($B$1:B133)+1,0)</f>
        <v>0</v>
      </c>
      <c r="C134" s="3" t="s">
        <v>761</v>
      </c>
      <c r="G134" s="3" t="str">
        <f>IF(Start!$D$16="Please select",'Context variables'!C134,IFERROR(VLOOKUP(ROWS($G$3:G134),$B$3:$C$250,2,0),""))</f>
        <v>Madagascar</v>
      </c>
    </row>
    <row r="135" spans="1:7" x14ac:dyDescent="0.25">
      <c r="A135" s="3" t="s">
        <v>1002</v>
      </c>
      <c r="B135" s="3">
        <f>IF(ISNUMBER(SEARCH(Start!$D$16,'Context variables'!C135)),MAX($B$1:B134)+1,0)</f>
        <v>0</v>
      </c>
      <c r="C135" s="3" t="s">
        <v>762</v>
      </c>
      <c r="G135" s="3" t="str">
        <f>IF(Start!$D$16="Please select",'Context variables'!C135,IFERROR(VLOOKUP(ROWS($G$3:G135),$B$3:$C$250,2,0),""))</f>
        <v>Malawi</v>
      </c>
    </row>
    <row r="136" spans="1:7" x14ac:dyDescent="0.25">
      <c r="A136" s="3" t="s">
        <v>1009</v>
      </c>
      <c r="B136" s="3">
        <f>IF(ISNUMBER(SEARCH(Start!$D$16,'Context variables'!C136)),MAX($B$1:B135)+1,0)</f>
        <v>0</v>
      </c>
      <c r="C136" s="3" t="s">
        <v>829</v>
      </c>
      <c r="G136" s="3" t="str">
        <f>IF(Start!$D$16="Please select",'Context variables'!C136,IFERROR(VLOOKUP(ROWS($G$3:G136),$B$3:$C$250,2,0),""))</f>
        <v>Malaysia</v>
      </c>
    </row>
    <row r="137" spans="1:7" x14ac:dyDescent="0.25">
      <c r="A137" s="3" t="s">
        <v>1010</v>
      </c>
      <c r="B137" s="3">
        <f>IF(ISNUMBER(SEARCH(Start!$D$16,'Context variables'!C137)),MAX($B$1:B136)+1,0)</f>
        <v>0</v>
      </c>
      <c r="C137" s="3" t="s">
        <v>841</v>
      </c>
      <c r="G137" s="3" t="str">
        <f>IF(Start!$D$16="Please select",'Context variables'!C137,IFERROR(VLOOKUP(ROWS($G$3:G137),$B$3:$C$250,2,0),""))</f>
        <v>Maldives</v>
      </c>
    </row>
    <row r="138" spans="1:7" x14ac:dyDescent="0.25">
      <c r="A138" s="3" t="s">
        <v>1006</v>
      </c>
      <c r="B138" s="3">
        <f>IF(ISNUMBER(SEARCH(Start!$D$16,'Context variables'!C138)),MAX($B$1:B137)+1,0)</f>
        <v>0</v>
      </c>
      <c r="C138" s="3" t="s">
        <v>805</v>
      </c>
      <c r="G138" s="3" t="str">
        <f>IF(Start!$D$16="Please select",'Context variables'!C138,IFERROR(VLOOKUP(ROWS($G$3:G138),$B$3:$C$250,2,0),""))</f>
        <v>Mali</v>
      </c>
    </row>
    <row r="139" spans="1:7" x14ac:dyDescent="0.25">
      <c r="A139" s="3" t="s">
        <v>1012</v>
      </c>
      <c r="B139" s="3">
        <f>IF(ISNUMBER(SEARCH(Start!$D$16,'Context variables'!C139)),MAX($B$1:B138)+1,0)</f>
        <v>0</v>
      </c>
      <c r="C139" s="3" t="s">
        <v>893</v>
      </c>
      <c r="G139" s="3" t="str">
        <f>IF(Start!$D$16="Please select",'Context variables'!C139,IFERROR(VLOOKUP(ROWS($G$3:G139),$B$3:$C$250,2,0),""))</f>
        <v>Malta</v>
      </c>
    </row>
    <row r="140" spans="1:7" x14ac:dyDescent="0.25">
      <c r="A140" s="3" t="s">
        <v>1013</v>
      </c>
      <c r="B140" s="3">
        <f>IF(ISNUMBER(SEARCH(Start!$D$16,'Context variables'!C140)),MAX($B$1:B139)+1,0)</f>
        <v>0</v>
      </c>
      <c r="C140" s="3" t="s">
        <v>925</v>
      </c>
      <c r="G140" s="3" t="str">
        <f>IF(Start!$D$16="Please select",'Context variables'!C140,IFERROR(VLOOKUP(ROWS($G$3:G140),$B$3:$C$250,2,0),""))</f>
        <v>Marshall Islands</v>
      </c>
    </row>
    <row r="141" spans="1:7" x14ac:dyDescent="0.25">
      <c r="A141" s="3" t="s">
        <v>1017</v>
      </c>
      <c r="B141" s="3">
        <f>IF(ISNUMBER(SEARCH(Start!$D$16,'Context variables'!C141)),MAX($B$1:B140)+1,0)</f>
        <v>0</v>
      </c>
      <c r="C141" s="3" t="s">
        <v>989</v>
      </c>
      <c r="G141" s="3" t="str">
        <f>IF(Start!$D$16="Please select",'Context variables'!C141,IFERROR(VLOOKUP(ROWS($G$3:G141),$B$3:$C$250,2,0),""))</f>
        <v>Martinique</v>
      </c>
    </row>
    <row r="142" spans="1:7" x14ac:dyDescent="0.25">
      <c r="A142" s="3" t="s">
        <v>1006</v>
      </c>
      <c r="B142" s="3">
        <f>IF(ISNUMBER(SEARCH(Start!$D$16,'Context variables'!C142)),MAX($B$1:B141)+1,0)</f>
        <v>0</v>
      </c>
      <c r="C142" s="3" t="s">
        <v>806</v>
      </c>
      <c r="G142" s="3" t="str">
        <f>IF(Start!$D$16="Please select",'Context variables'!C142,IFERROR(VLOOKUP(ROWS($G$3:G142),$B$3:$C$250,2,0),""))</f>
        <v>Mauritania</v>
      </c>
    </row>
    <row r="143" spans="1:7" x14ac:dyDescent="0.25">
      <c r="A143" s="3" t="s">
        <v>1002</v>
      </c>
      <c r="B143" s="3">
        <f>IF(ISNUMBER(SEARCH(Start!$D$16,'Context variables'!C143)),MAX($B$1:B142)+1,0)</f>
        <v>0</v>
      </c>
      <c r="C143" s="3" t="s">
        <v>763</v>
      </c>
      <c r="G143" s="3" t="str">
        <f>IF(Start!$D$16="Please select",'Context variables'!C143,IFERROR(VLOOKUP(ROWS($G$3:G143),$B$3:$C$250,2,0),""))</f>
        <v>Mauritius</v>
      </c>
    </row>
    <row r="144" spans="1:7" x14ac:dyDescent="0.25">
      <c r="A144" s="3" t="s">
        <v>1002</v>
      </c>
      <c r="B144" s="3">
        <f>IF(ISNUMBER(SEARCH(Start!$D$16,'Context variables'!C144)),MAX($B$1:B143)+1,0)</f>
        <v>0</v>
      </c>
      <c r="C144" s="3" t="s">
        <v>764</v>
      </c>
      <c r="G144" s="3" t="str">
        <f>IF(Start!$D$16="Please select",'Context variables'!C144,IFERROR(VLOOKUP(ROWS($G$3:G144),$B$3:$C$250,2,0),""))</f>
        <v>Mayotte</v>
      </c>
    </row>
    <row r="145" spans="1:7" x14ac:dyDescent="0.25">
      <c r="A145" s="3" t="s">
        <v>1016</v>
      </c>
      <c r="B145" s="3">
        <f>IF(ISNUMBER(SEARCH(Start!$D$16,'Context variables'!C145)),MAX($B$1:B144)+1,0)</f>
        <v>0</v>
      </c>
      <c r="C145" s="3" t="s">
        <v>970</v>
      </c>
      <c r="G145" s="3" t="str">
        <f>IF(Start!$D$16="Please select",'Context variables'!C145,IFERROR(VLOOKUP(ROWS($G$3:G145),$B$3:$C$250,2,0),""))</f>
        <v>Mexico</v>
      </c>
    </row>
    <row r="146" spans="1:7" x14ac:dyDescent="0.25">
      <c r="A146" s="3" t="s">
        <v>1013</v>
      </c>
      <c r="B146" s="3">
        <f>IF(ISNUMBER(SEARCH(Start!$D$16,'Context variables'!C146)),MAX($B$1:B145)+1,0)</f>
        <v>0</v>
      </c>
      <c r="C146" s="3" t="s">
        <v>926</v>
      </c>
      <c r="G146" s="3" t="str">
        <f>IF(Start!$D$16="Please select",'Context variables'!C146,IFERROR(VLOOKUP(ROWS($G$3:G146),$B$3:$C$250,2,0),""))</f>
        <v>Micronesia (Federated States of)</v>
      </c>
    </row>
    <row r="147" spans="1:7" x14ac:dyDescent="0.25">
      <c r="A147" s="3" t="s">
        <v>1012</v>
      </c>
      <c r="B147" s="3">
        <f>IF(ISNUMBER(SEARCH(Start!$D$16,'Context variables'!C147)),MAX($B$1:B146)+1,0)</f>
        <v>0</v>
      </c>
      <c r="C147" s="3" t="s">
        <v>894</v>
      </c>
      <c r="G147" s="3" t="str">
        <f>IF(Start!$D$16="Please select",'Context variables'!C147,IFERROR(VLOOKUP(ROWS($G$3:G147),$B$3:$C$250,2,0),""))</f>
        <v>Monaco</v>
      </c>
    </row>
    <row r="148" spans="1:7" x14ac:dyDescent="0.25">
      <c r="A148" s="3" t="s">
        <v>1008</v>
      </c>
      <c r="B148" s="3">
        <f>IF(ISNUMBER(SEARCH(Start!$D$16,'Context variables'!C148)),MAX($B$1:B147)+1,0)</f>
        <v>0</v>
      </c>
      <c r="C148" s="3" t="s">
        <v>823</v>
      </c>
      <c r="G148" s="3" t="str">
        <f>IF(Start!$D$16="Please select",'Context variables'!C148,IFERROR(VLOOKUP(ROWS($G$3:G148),$B$3:$C$250,2,0),""))</f>
        <v>Mongolia</v>
      </c>
    </row>
    <row r="149" spans="1:7" x14ac:dyDescent="0.25">
      <c r="A149" s="3" t="s">
        <v>1012</v>
      </c>
      <c r="B149" s="3">
        <f>IF(ISNUMBER(SEARCH(Start!$D$16,'Context variables'!C149)),MAX($B$1:B148)+1,0)</f>
        <v>0</v>
      </c>
      <c r="C149" s="3" t="s">
        <v>895</v>
      </c>
      <c r="G149" s="3" t="str">
        <f>IF(Start!$D$16="Please select",'Context variables'!C149,IFERROR(VLOOKUP(ROWS($G$3:G149),$B$3:$C$250,2,0),""))</f>
        <v>Montenegro</v>
      </c>
    </row>
    <row r="150" spans="1:7" x14ac:dyDescent="0.25">
      <c r="A150" s="3" t="s">
        <v>1017</v>
      </c>
      <c r="B150" s="3">
        <f>IF(ISNUMBER(SEARCH(Start!$D$16,'Context variables'!C150)),MAX($B$1:B149)+1,0)</f>
        <v>0</v>
      </c>
      <c r="C150" s="3" t="s">
        <v>990</v>
      </c>
      <c r="G150" s="3" t="str">
        <f>IF(Start!$D$16="Please select",'Context variables'!C150,IFERROR(VLOOKUP(ROWS($G$3:G150),$B$3:$C$250,2,0),""))</f>
        <v>Montserrat</v>
      </c>
    </row>
    <row r="151" spans="1:7" x14ac:dyDescent="0.25">
      <c r="A151" s="3" t="s">
        <v>1004</v>
      </c>
      <c r="B151" s="3">
        <f>IF(ISNUMBER(SEARCH(Start!$D$16,'Context variables'!C151)),MAX($B$1:B150)+1,0)</f>
        <v>0</v>
      </c>
      <c r="C151" s="3" t="s">
        <v>787</v>
      </c>
      <c r="G151" s="3" t="str">
        <f>IF(Start!$D$16="Please select",'Context variables'!C151,IFERROR(VLOOKUP(ROWS($G$3:G151),$B$3:$C$250,2,0),""))</f>
        <v>Morocco</v>
      </c>
    </row>
    <row r="152" spans="1:7" x14ac:dyDescent="0.25">
      <c r="A152" s="3" t="s">
        <v>1002</v>
      </c>
      <c r="B152" s="3">
        <f>IF(ISNUMBER(SEARCH(Start!$D$16,'Context variables'!C152)),MAX($B$1:B151)+1,0)</f>
        <v>0</v>
      </c>
      <c r="C152" s="3" t="s">
        <v>765</v>
      </c>
      <c r="G152" s="3" t="str">
        <f>IF(Start!$D$16="Please select",'Context variables'!C152,IFERROR(VLOOKUP(ROWS($G$3:G152),$B$3:$C$250,2,0),""))</f>
        <v>Mozambique</v>
      </c>
    </row>
    <row r="153" spans="1:7" x14ac:dyDescent="0.25">
      <c r="A153" s="3" t="s">
        <v>1009</v>
      </c>
      <c r="B153" s="3">
        <f>IF(ISNUMBER(SEARCH(Start!$D$16,'Context variables'!C153)),MAX($B$1:B152)+1,0)</f>
        <v>0</v>
      </c>
      <c r="C153" s="3" t="s">
        <v>830</v>
      </c>
      <c r="G153" s="3" t="str">
        <f>IF(Start!$D$16="Please select",'Context variables'!C153,IFERROR(VLOOKUP(ROWS($G$3:G153),$B$3:$C$250,2,0),""))</f>
        <v>Myanmar</v>
      </c>
    </row>
    <row r="154" spans="1:7" x14ac:dyDescent="0.25">
      <c r="A154" s="3" t="s">
        <v>1005</v>
      </c>
      <c r="B154" s="3">
        <f>IF(ISNUMBER(SEARCH(Start!$D$16,'Context variables'!C154)),MAX($B$1:B153)+1,0)</f>
        <v>0</v>
      </c>
      <c r="C154" s="3" t="s">
        <v>794</v>
      </c>
      <c r="G154" s="3" t="str">
        <f>IF(Start!$D$16="Please select",'Context variables'!C154,IFERROR(VLOOKUP(ROWS($G$3:G154),$B$3:$C$250,2,0),""))</f>
        <v>Namibia</v>
      </c>
    </row>
    <row r="155" spans="1:7" x14ac:dyDescent="0.25">
      <c r="A155" s="3" t="s">
        <v>1013</v>
      </c>
      <c r="B155" s="3">
        <f>IF(ISNUMBER(SEARCH(Start!$D$16,'Context variables'!C155)),MAX($B$1:B154)+1,0)</f>
        <v>0</v>
      </c>
      <c r="C155" s="3" t="s">
        <v>927</v>
      </c>
      <c r="G155" s="3" t="str">
        <f>IF(Start!$D$16="Please select",'Context variables'!C155,IFERROR(VLOOKUP(ROWS($G$3:G155),$B$3:$C$250,2,0),""))</f>
        <v>Nauru</v>
      </c>
    </row>
    <row r="156" spans="1:7" x14ac:dyDescent="0.25">
      <c r="A156" s="3" t="s">
        <v>1010</v>
      </c>
      <c r="B156" s="3">
        <f>IF(ISNUMBER(SEARCH(Start!$D$16,'Context variables'!C156)),MAX($B$1:B155)+1,0)</f>
        <v>0</v>
      </c>
      <c r="C156" s="3" t="s">
        <v>842</v>
      </c>
      <c r="G156" s="3" t="str">
        <f>IF(Start!$D$16="Please select",'Context variables'!C156,IFERROR(VLOOKUP(ROWS($G$3:G156),$B$3:$C$250,2,0),""))</f>
        <v>Nepal</v>
      </c>
    </row>
    <row r="157" spans="1:7" x14ac:dyDescent="0.25">
      <c r="A157" s="3" t="s">
        <v>1012</v>
      </c>
      <c r="B157" s="3">
        <f>IF(ISNUMBER(SEARCH(Start!$D$16,'Context variables'!C157)),MAX($B$1:B156)+1,0)</f>
        <v>0</v>
      </c>
      <c r="C157" s="3" t="s">
        <v>896</v>
      </c>
      <c r="G157" s="3" t="str">
        <f>IF(Start!$D$16="Please select",'Context variables'!C157,IFERROR(VLOOKUP(ROWS($G$3:G157),$B$3:$C$250,2,0),""))</f>
        <v>Netherlands</v>
      </c>
    </row>
    <row r="158" spans="1:7" x14ac:dyDescent="0.25">
      <c r="A158" s="3" t="s">
        <v>1013</v>
      </c>
      <c r="B158" s="3">
        <f>IF(ISNUMBER(SEARCH(Start!$D$16,'Context variables'!C158)),MAX($B$1:B157)+1,0)</f>
        <v>0</v>
      </c>
      <c r="C158" s="3" t="s">
        <v>928</v>
      </c>
      <c r="G158" s="3" t="str">
        <f>IF(Start!$D$16="Please select",'Context variables'!C158,IFERROR(VLOOKUP(ROWS($G$3:G158),$B$3:$C$250,2,0),""))</f>
        <v>New Caledonia</v>
      </c>
    </row>
    <row r="159" spans="1:7" x14ac:dyDescent="0.25">
      <c r="A159" s="3" t="s">
        <v>1013</v>
      </c>
      <c r="B159" s="3">
        <f>IF(ISNUMBER(SEARCH(Start!$D$16,'Context variables'!C159)),MAX($B$1:B158)+1,0)</f>
        <v>0</v>
      </c>
      <c r="C159" s="3" t="s">
        <v>929</v>
      </c>
      <c r="G159" s="3" t="str">
        <f>IF(Start!$D$16="Please select",'Context variables'!C159,IFERROR(VLOOKUP(ROWS($G$3:G159),$B$3:$C$250,2,0),""))</f>
        <v>New Zealand</v>
      </c>
    </row>
    <row r="160" spans="1:7" x14ac:dyDescent="0.25">
      <c r="A160" s="3" t="s">
        <v>1016</v>
      </c>
      <c r="B160" s="3">
        <f>IF(ISNUMBER(SEARCH(Start!$D$16,'Context variables'!C160)),MAX($B$1:B159)+1,0)</f>
        <v>0</v>
      </c>
      <c r="C160" s="3" t="s">
        <v>971</v>
      </c>
      <c r="G160" s="3" t="str">
        <f>IF(Start!$D$16="Please select",'Context variables'!C160,IFERROR(VLOOKUP(ROWS($G$3:G160),$B$3:$C$250,2,0),""))</f>
        <v>Nicaragua</v>
      </c>
    </row>
    <row r="161" spans="1:7" x14ac:dyDescent="0.25">
      <c r="A161" s="3" t="s">
        <v>1006</v>
      </c>
      <c r="B161" s="3">
        <f>IF(ISNUMBER(SEARCH(Start!$D$16,'Context variables'!C161)),MAX($B$1:B160)+1,0)</f>
        <v>0</v>
      </c>
      <c r="C161" s="3" t="s">
        <v>807</v>
      </c>
      <c r="G161" s="3" t="str">
        <f>IF(Start!$D$16="Please select",'Context variables'!C161,IFERROR(VLOOKUP(ROWS($G$3:G161),$B$3:$C$250,2,0),""))</f>
        <v>Niger</v>
      </c>
    </row>
    <row r="162" spans="1:7" x14ac:dyDescent="0.25">
      <c r="A162" s="3" t="s">
        <v>1006</v>
      </c>
      <c r="B162" s="3">
        <f>IF(ISNUMBER(SEARCH(Start!$D$16,'Context variables'!C162)),MAX($B$1:B161)+1,0)</f>
        <v>0</v>
      </c>
      <c r="C162" s="3" t="s">
        <v>808</v>
      </c>
      <c r="G162" s="3" t="str">
        <f>IF(Start!$D$16="Please select",'Context variables'!C162,IFERROR(VLOOKUP(ROWS($G$3:G162),$B$3:$C$250,2,0),""))</f>
        <v>Nigeria</v>
      </c>
    </row>
    <row r="163" spans="1:7" x14ac:dyDescent="0.25">
      <c r="A163" s="3" t="s">
        <v>1013</v>
      </c>
      <c r="B163" s="3">
        <f>IF(ISNUMBER(SEARCH(Start!$D$16,'Context variables'!C163)),MAX($B$1:B162)+1,0)</f>
        <v>0</v>
      </c>
      <c r="C163" s="3" t="s">
        <v>930</v>
      </c>
      <c r="G163" s="3" t="str">
        <f>IF(Start!$D$16="Please select",'Context variables'!C163,IFERROR(VLOOKUP(ROWS($G$3:G163),$B$3:$C$250,2,0),""))</f>
        <v>Niue</v>
      </c>
    </row>
    <row r="164" spans="1:7" x14ac:dyDescent="0.25">
      <c r="A164" s="3" t="s">
        <v>1013</v>
      </c>
      <c r="B164" s="3">
        <f>IF(ISNUMBER(SEARCH(Start!$D$16,'Context variables'!C164)),MAX($B$1:B163)+1,0)</f>
        <v>0</v>
      </c>
      <c r="C164" s="3" t="s">
        <v>931</v>
      </c>
      <c r="G164" s="3" t="str">
        <f>IF(Start!$D$16="Please select",'Context variables'!C164,IFERROR(VLOOKUP(ROWS($G$3:G164),$B$3:$C$250,2,0),""))</f>
        <v>Norfolk Island</v>
      </c>
    </row>
    <row r="165" spans="1:7" x14ac:dyDescent="0.25">
      <c r="A165" s="3" t="s">
        <v>1012</v>
      </c>
      <c r="B165" s="3">
        <f>IF(ISNUMBER(SEARCH(Start!$D$16,'Context variables'!C165)),MAX($B$1:B164)+1,0)</f>
        <v>0</v>
      </c>
      <c r="C165" s="3" t="s">
        <v>897</v>
      </c>
      <c r="G165" s="3" t="str">
        <f>IF(Start!$D$16="Please select",'Context variables'!C165,IFERROR(VLOOKUP(ROWS($G$3:G165),$B$3:$C$250,2,0),""))</f>
        <v>North Macedonia</v>
      </c>
    </row>
    <row r="166" spans="1:7" x14ac:dyDescent="0.25">
      <c r="A166" s="3" t="s">
        <v>1013</v>
      </c>
      <c r="B166" s="3">
        <f>IF(ISNUMBER(SEARCH(Start!$D$16,'Context variables'!C166)),MAX($B$1:B165)+1,0)</f>
        <v>0</v>
      </c>
      <c r="C166" s="3" t="s">
        <v>932</v>
      </c>
      <c r="G166" s="3" t="str">
        <f>IF(Start!$D$16="Please select",'Context variables'!C166,IFERROR(VLOOKUP(ROWS($G$3:G166),$B$3:$C$250,2,0),""))</f>
        <v>Northern Mariana Islands</v>
      </c>
    </row>
    <row r="167" spans="1:7" x14ac:dyDescent="0.25">
      <c r="A167" s="3" t="s">
        <v>1012</v>
      </c>
      <c r="B167" s="3">
        <f>IF(ISNUMBER(SEARCH(Start!$D$16,'Context variables'!C167)),MAX($B$1:B166)+1,0)</f>
        <v>0</v>
      </c>
      <c r="C167" s="3" t="s">
        <v>898</v>
      </c>
      <c r="G167" s="3" t="str">
        <f>IF(Start!$D$16="Please select",'Context variables'!C167,IFERROR(VLOOKUP(ROWS($G$3:G167),$B$3:$C$250,2,0),""))</f>
        <v>Norway</v>
      </c>
    </row>
    <row r="168" spans="1:7" x14ac:dyDescent="0.25">
      <c r="A168" s="3" t="s">
        <v>1011</v>
      </c>
      <c r="B168" s="3">
        <f>IF(ISNUMBER(SEARCH(Start!$D$16,'Context variables'!C168)),MAX($B$1:B167)+1,0)</f>
        <v>0</v>
      </c>
      <c r="C168" s="3" t="s">
        <v>855</v>
      </c>
      <c r="G168" s="3" t="str">
        <f>IF(Start!$D$16="Please select",'Context variables'!C168,IFERROR(VLOOKUP(ROWS($G$3:G168),$B$3:$C$250,2,0),""))</f>
        <v>Oman</v>
      </c>
    </row>
    <row r="169" spans="1:7" x14ac:dyDescent="0.25">
      <c r="A169" s="3" t="s">
        <v>1010</v>
      </c>
      <c r="B169" s="3">
        <f>IF(ISNUMBER(SEARCH(Start!$D$16,'Context variables'!C169)),MAX($B$1:B168)+1,0)</f>
        <v>0</v>
      </c>
      <c r="C169" s="3" t="s">
        <v>843</v>
      </c>
      <c r="G169" s="3" t="str">
        <f>IF(Start!$D$16="Please select",'Context variables'!C169,IFERROR(VLOOKUP(ROWS($G$3:G169),$B$3:$C$250,2,0),""))</f>
        <v>Pakistan</v>
      </c>
    </row>
    <row r="170" spans="1:7" x14ac:dyDescent="0.25">
      <c r="A170" s="3" t="s">
        <v>1013</v>
      </c>
      <c r="B170" s="3">
        <f>IF(ISNUMBER(SEARCH(Start!$D$16,'Context variables'!C170)),MAX($B$1:B169)+1,0)</f>
        <v>0</v>
      </c>
      <c r="C170" s="3" t="s">
        <v>933</v>
      </c>
      <c r="G170" s="3" t="str">
        <f>IF(Start!$D$16="Please select",'Context variables'!C170,IFERROR(VLOOKUP(ROWS($G$3:G170),$B$3:$C$250,2,0),""))</f>
        <v>Palau</v>
      </c>
    </row>
    <row r="171" spans="1:7" x14ac:dyDescent="0.25">
      <c r="A171" s="3" t="s">
        <v>1016</v>
      </c>
      <c r="B171" s="3">
        <f>IF(ISNUMBER(SEARCH(Start!$D$16,'Context variables'!C171)),MAX($B$1:B170)+1,0)</f>
        <v>0</v>
      </c>
      <c r="C171" s="3" t="s">
        <v>972</v>
      </c>
      <c r="G171" s="3" t="str">
        <f>IF(Start!$D$16="Please select",'Context variables'!C171,IFERROR(VLOOKUP(ROWS($G$3:G171),$B$3:$C$250,2,0),""))</f>
        <v>Panama</v>
      </c>
    </row>
    <row r="172" spans="1:7" x14ac:dyDescent="0.25">
      <c r="A172" s="3" t="s">
        <v>1013</v>
      </c>
      <c r="B172" s="3">
        <f>IF(ISNUMBER(SEARCH(Start!$D$16,'Context variables'!C172)),MAX($B$1:B171)+1,0)</f>
        <v>0</v>
      </c>
      <c r="C172" s="3" t="s">
        <v>934</v>
      </c>
      <c r="G172" s="3" t="str">
        <f>IF(Start!$D$16="Please select",'Context variables'!C172,IFERROR(VLOOKUP(ROWS($G$3:G172),$B$3:$C$250,2,0),""))</f>
        <v>Papua New Guinea</v>
      </c>
    </row>
    <row r="173" spans="1:7" x14ac:dyDescent="0.25">
      <c r="A173" s="3" t="s">
        <v>1015</v>
      </c>
      <c r="B173" s="3">
        <f>IF(ISNUMBER(SEARCH(Start!$D$16,'Context variables'!C173)),MAX($B$1:B172)+1,0)</f>
        <v>0</v>
      </c>
      <c r="C173" s="3" t="s">
        <v>959</v>
      </c>
      <c r="G173" s="3" t="str">
        <f>IF(Start!$D$16="Please select",'Context variables'!C173,IFERROR(VLOOKUP(ROWS($G$3:G173),$B$3:$C$250,2,0),""))</f>
        <v>Paraguay</v>
      </c>
    </row>
    <row r="174" spans="1:7" x14ac:dyDescent="0.25">
      <c r="A174" s="3" t="s">
        <v>1015</v>
      </c>
      <c r="B174" s="3">
        <f>IF(ISNUMBER(SEARCH(Start!$D$16,'Context variables'!C174)),MAX($B$1:B173)+1,0)</f>
        <v>0</v>
      </c>
      <c r="C174" s="3" t="s">
        <v>960</v>
      </c>
      <c r="G174" s="3" t="str">
        <f>IF(Start!$D$16="Please select",'Context variables'!C174,IFERROR(VLOOKUP(ROWS($G$3:G174),$B$3:$C$250,2,0),""))</f>
        <v>Peru</v>
      </c>
    </row>
    <row r="175" spans="1:7" x14ac:dyDescent="0.25">
      <c r="A175" s="3" t="s">
        <v>1009</v>
      </c>
      <c r="B175" s="3">
        <f>IF(ISNUMBER(SEARCH(Start!$D$16,'Context variables'!C175)),MAX($B$1:B174)+1,0)</f>
        <v>0</v>
      </c>
      <c r="C175" s="3" t="s">
        <v>831</v>
      </c>
      <c r="G175" s="3" t="str">
        <f>IF(Start!$D$16="Please select",'Context variables'!C175,IFERROR(VLOOKUP(ROWS($G$3:G175),$B$3:$C$250,2,0),""))</f>
        <v>Philippines</v>
      </c>
    </row>
    <row r="176" spans="1:7" x14ac:dyDescent="0.25">
      <c r="A176" s="3" t="s">
        <v>1013</v>
      </c>
      <c r="B176" s="3">
        <f>IF(ISNUMBER(SEARCH(Start!$D$16,'Context variables'!C176)),MAX($B$1:B175)+1,0)</f>
        <v>0</v>
      </c>
      <c r="C176" s="3" t="s">
        <v>935</v>
      </c>
      <c r="G176" s="3" t="str">
        <f>IF(Start!$D$16="Please select",'Context variables'!C176,IFERROR(VLOOKUP(ROWS($G$3:G176),$B$3:$C$250,2,0),""))</f>
        <v>Pitcairn</v>
      </c>
    </row>
    <row r="177" spans="1:7" x14ac:dyDescent="0.25">
      <c r="A177" s="3" t="s">
        <v>1012</v>
      </c>
      <c r="B177" s="3">
        <f>IF(ISNUMBER(SEARCH(Start!$D$16,'Context variables'!C177)),MAX($B$1:B176)+1,0)</f>
        <v>0</v>
      </c>
      <c r="C177" s="3" t="s">
        <v>899</v>
      </c>
      <c r="G177" s="3" t="str">
        <f>IF(Start!$D$16="Please select",'Context variables'!C177,IFERROR(VLOOKUP(ROWS($G$3:G177),$B$3:$C$250,2,0),""))</f>
        <v>Poland</v>
      </c>
    </row>
    <row r="178" spans="1:7" x14ac:dyDescent="0.25">
      <c r="A178" s="3" t="s">
        <v>1012</v>
      </c>
      <c r="B178" s="3">
        <f>IF(ISNUMBER(SEARCH(Start!$D$16,'Context variables'!C178)),MAX($B$1:B177)+1,0)</f>
        <v>0</v>
      </c>
      <c r="C178" s="3" t="s">
        <v>900</v>
      </c>
      <c r="G178" s="3" t="str">
        <f>IF(Start!$D$16="Please select",'Context variables'!C178,IFERROR(VLOOKUP(ROWS($G$3:G178),$B$3:$C$250,2,0),""))</f>
        <v>Portugal</v>
      </c>
    </row>
    <row r="179" spans="1:7" x14ac:dyDescent="0.25">
      <c r="A179" s="3" t="s">
        <v>1017</v>
      </c>
      <c r="B179" s="3">
        <f>IF(ISNUMBER(SEARCH(Start!$D$16,'Context variables'!C179)),MAX($B$1:B178)+1,0)</f>
        <v>0</v>
      </c>
      <c r="C179" s="3" t="s">
        <v>991</v>
      </c>
      <c r="G179" s="3" t="str">
        <f>IF(Start!$D$16="Please select",'Context variables'!C179,IFERROR(VLOOKUP(ROWS($G$3:G179),$B$3:$C$250,2,0),""))</f>
        <v>Puerto Rico</v>
      </c>
    </row>
    <row r="180" spans="1:7" x14ac:dyDescent="0.25">
      <c r="A180" s="3" t="s">
        <v>1011</v>
      </c>
      <c r="B180" s="3">
        <f>IF(ISNUMBER(SEARCH(Start!$D$16,'Context variables'!C180)),MAX($B$1:B179)+1,0)</f>
        <v>0</v>
      </c>
      <c r="C180" s="3" t="s">
        <v>856</v>
      </c>
      <c r="G180" s="3" t="str">
        <f>IF(Start!$D$16="Please select",'Context variables'!C180,IFERROR(VLOOKUP(ROWS($G$3:G180),$B$3:$C$250,2,0),""))</f>
        <v>Qatar</v>
      </c>
    </row>
    <row r="181" spans="1:7" x14ac:dyDescent="0.25">
      <c r="A181" s="3" t="s">
        <v>1008</v>
      </c>
      <c r="B181" s="3">
        <f>IF(ISNUMBER(SEARCH(Start!$D$16,'Context variables'!C181)),MAX($B$1:B180)+1,0)</f>
        <v>0</v>
      </c>
      <c r="C181" s="3" t="s">
        <v>824</v>
      </c>
      <c r="G181" s="3" t="str">
        <f>IF(Start!$D$16="Please select",'Context variables'!C181,IFERROR(VLOOKUP(ROWS($G$3:G181),$B$3:$C$250,2,0),""))</f>
        <v>Republic of Korea</v>
      </c>
    </row>
    <row r="182" spans="1:7" x14ac:dyDescent="0.25">
      <c r="A182" s="3" t="s">
        <v>1012</v>
      </c>
      <c r="B182" s="3">
        <f>IF(ISNUMBER(SEARCH(Start!$D$16,'Context variables'!C182)),MAX($B$1:B181)+1,0)</f>
        <v>0</v>
      </c>
      <c r="C182" s="3" t="s">
        <v>901</v>
      </c>
      <c r="G182" s="3" t="str">
        <f>IF(Start!$D$16="Please select",'Context variables'!C182,IFERROR(VLOOKUP(ROWS($G$3:G182),$B$3:$C$250,2,0),""))</f>
        <v>Republic of Moldova</v>
      </c>
    </row>
    <row r="183" spans="1:7" x14ac:dyDescent="0.25">
      <c r="A183" s="3" t="s">
        <v>1002</v>
      </c>
      <c r="B183" s="3">
        <f>IF(ISNUMBER(SEARCH(Start!$D$16,'Context variables'!C183)),MAX($B$1:B182)+1,0)</f>
        <v>0</v>
      </c>
      <c r="C183" s="3" t="s">
        <v>766</v>
      </c>
      <c r="G183" s="3" t="str">
        <f>IF(Start!$D$16="Please select",'Context variables'!C183,IFERROR(VLOOKUP(ROWS($G$3:G183),$B$3:$C$250,2,0),""))</f>
        <v>Réunion</v>
      </c>
    </row>
    <row r="184" spans="1:7" x14ac:dyDescent="0.25">
      <c r="A184" s="3" t="s">
        <v>1012</v>
      </c>
      <c r="B184" s="3">
        <f>IF(ISNUMBER(SEARCH(Start!$D$16,'Context variables'!C184)),MAX($B$1:B183)+1,0)</f>
        <v>0</v>
      </c>
      <c r="C184" s="3" t="s">
        <v>902</v>
      </c>
      <c r="G184" s="3" t="str">
        <f>IF(Start!$D$16="Please select",'Context variables'!C184,IFERROR(VLOOKUP(ROWS($G$3:G184),$B$3:$C$250,2,0),""))</f>
        <v>Romania</v>
      </c>
    </row>
    <row r="185" spans="1:7" x14ac:dyDescent="0.25">
      <c r="A185" s="3" t="s">
        <v>1012</v>
      </c>
      <c r="B185" s="3">
        <f>IF(ISNUMBER(SEARCH(Start!$D$16,'Context variables'!C185)),MAX($B$1:B184)+1,0)</f>
        <v>0</v>
      </c>
      <c r="C185" s="3" t="s">
        <v>903</v>
      </c>
      <c r="G185" s="3" t="str">
        <f>IF(Start!$D$16="Please select",'Context variables'!C185,IFERROR(VLOOKUP(ROWS($G$3:G185),$B$3:$C$250,2,0),""))</f>
        <v>Russian Federation</v>
      </c>
    </row>
    <row r="186" spans="1:7" x14ac:dyDescent="0.25">
      <c r="A186" s="3" t="s">
        <v>1002</v>
      </c>
      <c r="B186" s="3">
        <f>IF(ISNUMBER(SEARCH(Start!$D$16,'Context variables'!C186)),MAX($B$1:B185)+1,0)</f>
        <v>0</v>
      </c>
      <c r="C186" s="3" t="s">
        <v>767</v>
      </c>
      <c r="G186" s="3" t="str">
        <f>IF(Start!$D$16="Please select",'Context variables'!C186,IFERROR(VLOOKUP(ROWS($G$3:G186),$B$3:$C$250,2,0),""))</f>
        <v>Rwanda</v>
      </c>
    </row>
    <row r="187" spans="1:7" x14ac:dyDescent="0.25">
      <c r="A187" s="3" t="s">
        <v>1017</v>
      </c>
      <c r="B187" s="3">
        <f>IF(ISNUMBER(SEARCH(Start!$D$16,'Context variables'!C187)),MAX($B$1:B186)+1,0)</f>
        <v>0</v>
      </c>
      <c r="C187" s="3" t="s">
        <v>992</v>
      </c>
      <c r="G187" s="3" t="str">
        <f>IF(Start!$D$16="Please select",'Context variables'!C187,IFERROR(VLOOKUP(ROWS($G$3:G187),$B$3:$C$250,2,0),""))</f>
        <v>Saint Barthélemy</v>
      </c>
    </row>
    <row r="188" spans="1:7" x14ac:dyDescent="0.25">
      <c r="A188" s="3" t="s">
        <v>1006</v>
      </c>
      <c r="B188" s="3">
        <f>IF(ISNUMBER(SEARCH(Start!$D$16,'Context variables'!C188)),MAX($B$1:B187)+1,0)</f>
        <v>0</v>
      </c>
      <c r="C188" s="3" t="s">
        <v>809</v>
      </c>
      <c r="G188" s="3" t="str">
        <f>IF(Start!$D$16="Please select",'Context variables'!C188,IFERROR(VLOOKUP(ROWS($G$3:G188),$B$3:$C$250,2,0),""))</f>
        <v>Saint Helena</v>
      </c>
    </row>
    <row r="189" spans="1:7" x14ac:dyDescent="0.25">
      <c r="A189" s="3" t="s">
        <v>1017</v>
      </c>
      <c r="B189" s="3">
        <f>IF(ISNUMBER(SEARCH(Start!$D$16,'Context variables'!C189)),MAX($B$1:B188)+1,0)</f>
        <v>0</v>
      </c>
      <c r="C189" s="3" t="s">
        <v>993</v>
      </c>
      <c r="G189" s="3" t="str">
        <f>IF(Start!$D$16="Please select",'Context variables'!C189,IFERROR(VLOOKUP(ROWS($G$3:G189),$B$3:$C$250,2,0),""))</f>
        <v>Saint Kitts and Nevis</v>
      </c>
    </row>
    <row r="190" spans="1:7" x14ac:dyDescent="0.25">
      <c r="A190" s="3" t="s">
        <v>1017</v>
      </c>
      <c r="B190" s="3">
        <f>IF(ISNUMBER(SEARCH(Start!$D$16,'Context variables'!C190)),MAX($B$1:B189)+1,0)</f>
        <v>0</v>
      </c>
      <c r="C190" s="3" t="s">
        <v>994</v>
      </c>
      <c r="G190" s="3" t="str">
        <f>IF(Start!$D$16="Please select",'Context variables'!C190,IFERROR(VLOOKUP(ROWS($G$3:G190),$B$3:$C$250,2,0),""))</f>
        <v>Saint Lucia</v>
      </c>
    </row>
    <row r="191" spans="1:7" x14ac:dyDescent="0.25">
      <c r="A191" s="3" t="s">
        <v>1017</v>
      </c>
      <c r="B191" s="3">
        <f>IF(ISNUMBER(SEARCH(Start!$D$16,'Context variables'!C191)),MAX($B$1:B190)+1,0)</f>
        <v>0</v>
      </c>
      <c r="C191" s="3" t="s">
        <v>995</v>
      </c>
      <c r="G191" s="3" t="str">
        <f>IF(Start!$D$16="Please select",'Context variables'!C191,IFERROR(VLOOKUP(ROWS($G$3:G191),$B$3:$C$250,2,0),""))</f>
        <v>Saint Martin (French Part)</v>
      </c>
    </row>
    <row r="192" spans="1:7" x14ac:dyDescent="0.25">
      <c r="A192" s="3" t="s">
        <v>1014</v>
      </c>
      <c r="B192" s="3">
        <f>IF(ISNUMBER(SEARCH(Start!$D$16,'Context variables'!C192)),MAX($B$1:B191)+1,0)</f>
        <v>0</v>
      </c>
      <c r="C192" s="3" t="s">
        <v>947</v>
      </c>
      <c r="G192" s="3" t="str">
        <f>IF(Start!$D$16="Please select",'Context variables'!C192,IFERROR(VLOOKUP(ROWS($G$3:G192),$B$3:$C$250,2,0),""))</f>
        <v>Saint Pierre and Miquelon</v>
      </c>
    </row>
    <row r="193" spans="1:7" x14ac:dyDescent="0.25">
      <c r="A193" s="3" t="s">
        <v>1017</v>
      </c>
      <c r="B193" s="3">
        <f>IF(ISNUMBER(SEARCH(Start!$D$16,'Context variables'!C193)),MAX($B$1:B192)+1,0)</f>
        <v>0</v>
      </c>
      <c r="C193" s="3" t="s">
        <v>996</v>
      </c>
      <c r="G193" s="3" t="str">
        <f>IF(Start!$D$16="Please select",'Context variables'!C193,IFERROR(VLOOKUP(ROWS($G$3:G193),$B$3:$C$250,2,0),""))</f>
        <v>Saint Vincent and the Grenadines</v>
      </c>
    </row>
    <row r="194" spans="1:7" x14ac:dyDescent="0.25">
      <c r="A194" s="3" t="s">
        <v>1013</v>
      </c>
      <c r="B194" s="3">
        <f>IF(ISNUMBER(SEARCH(Start!$D$16,'Context variables'!C194)),MAX($B$1:B193)+1,0)</f>
        <v>0</v>
      </c>
      <c r="C194" s="3" t="s">
        <v>936</v>
      </c>
      <c r="G194" s="3" t="str">
        <f>IF(Start!$D$16="Please select",'Context variables'!C194,IFERROR(VLOOKUP(ROWS($G$3:G194),$B$3:$C$250,2,0),""))</f>
        <v>Samoa</v>
      </c>
    </row>
    <row r="195" spans="1:7" x14ac:dyDescent="0.25">
      <c r="A195" s="3" t="s">
        <v>1012</v>
      </c>
      <c r="B195" s="3">
        <f>IF(ISNUMBER(SEARCH(Start!$D$16,'Context variables'!C195)),MAX($B$1:B194)+1,0)</f>
        <v>0</v>
      </c>
      <c r="C195" s="3" t="s">
        <v>904</v>
      </c>
      <c r="G195" s="3" t="str">
        <f>IF(Start!$D$16="Please select",'Context variables'!C195,IFERROR(VLOOKUP(ROWS($G$3:G195),$B$3:$C$250,2,0),""))</f>
        <v>San Marino</v>
      </c>
    </row>
    <row r="196" spans="1:7" x14ac:dyDescent="0.25">
      <c r="A196" s="3" t="s">
        <v>1003</v>
      </c>
      <c r="B196" s="3">
        <f>IF(ISNUMBER(SEARCH(Start!$D$16,'Context variables'!C196)),MAX($B$1:B195)+1,0)</f>
        <v>0</v>
      </c>
      <c r="C196" s="3" t="s">
        <v>783</v>
      </c>
      <c r="G196" s="3" t="str">
        <f>IF(Start!$D$16="Please select",'Context variables'!C196,IFERROR(VLOOKUP(ROWS($G$3:G196),$B$3:$C$250,2,0),""))</f>
        <v>Sao Tome and Principe</v>
      </c>
    </row>
    <row r="197" spans="1:7" x14ac:dyDescent="0.25">
      <c r="A197" s="3" t="s">
        <v>1012</v>
      </c>
      <c r="B197" s="3">
        <f>IF(ISNUMBER(SEARCH(Start!$D$16,'Context variables'!C197)),MAX($B$1:B196)+1,0)</f>
        <v>0</v>
      </c>
      <c r="C197" s="3" t="s">
        <v>905</v>
      </c>
      <c r="G197" s="3" t="str">
        <f>IF(Start!$D$16="Please select",'Context variables'!C197,IFERROR(VLOOKUP(ROWS($G$3:G197),$B$3:$C$250,2,0),""))</f>
        <v>Sark</v>
      </c>
    </row>
    <row r="198" spans="1:7" x14ac:dyDescent="0.25">
      <c r="A198" s="3" t="s">
        <v>1011</v>
      </c>
      <c r="B198" s="3">
        <f>IF(ISNUMBER(SEARCH(Start!$D$16,'Context variables'!C198)),MAX($B$1:B197)+1,0)</f>
        <v>0</v>
      </c>
      <c r="C198" s="3" t="s">
        <v>857</v>
      </c>
      <c r="G198" s="3" t="str">
        <f>IF(Start!$D$16="Please select",'Context variables'!C198,IFERROR(VLOOKUP(ROWS($G$3:G198),$B$3:$C$250,2,0),""))</f>
        <v>Saudi Arabia</v>
      </c>
    </row>
    <row r="199" spans="1:7" x14ac:dyDescent="0.25">
      <c r="A199" s="3" t="s">
        <v>1006</v>
      </c>
      <c r="B199" s="3">
        <f>IF(ISNUMBER(SEARCH(Start!$D$16,'Context variables'!C199)),MAX($B$1:B198)+1,0)</f>
        <v>0</v>
      </c>
      <c r="C199" s="3" t="s">
        <v>810</v>
      </c>
      <c r="G199" s="3" t="str">
        <f>IF(Start!$D$16="Please select",'Context variables'!C199,IFERROR(VLOOKUP(ROWS($G$3:G199),$B$3:$C$250,2,0),""))</f>
        <v>Senegal</v>
      </c>
    </row>
    <row r="200" spans="1:7" x14ac:dyDescent="0.25">
      <c r="A200" s="3" t="s">
        <v>1012</v>
      </c>
      <c r="B200" s="3">
        <f>IF(ISNUMBER(SEARCH(Start!$D$16,'Context variables'!C200)),MAX($B$1:B199)+1,0)</f>
        <v>0</v>
      </c>
      <c r="C200" s="3" t="s">
        <v>906</v>
      </c>
      <c r="G200" s="3" t="str">
        <f>IF(Start!$D$16="Please select",'Context variables'!C200,IFERROR(VLOOKUP(ROWS($G$3:G200),$B$3:$C$250,2,0),""))</f>
        <v>Serbia</v>
      </c>
    </row>
    <row r="201" spans="1:7" x14ac:dyDescent="0.25">
      <c r="A201" s="3" t="s">
        <v>1002</v>
      </c>
      <c r="B201" s="3">
        <f>IF(ISNUMBER(SEARCH(Start!$D$16,'Context variables'!C201)),MAX($B$1:B200)+1,0)</f>
        <v>0</v>
      </c>
      <c r="C201" s="3" t="s">
        <v>768</v>
      </c>
      <c r="G201" s="3" t="str">
        <f>IF(Start!$D$16="Please select",'Context variables'!C201,IFERROR(VLOOKUP(ROWS($G$3:G201),$B$3:$C$250,2,0),""))</f>
        <v>Seychelles</v>
      </c>
    </row>
    <row r="202" spans="1:7" x14ac:dyDescent="0.25">
      <c r="A202" s="3" t="s">
        <v>1006</v>
      </c>
      <c r="B202" s="3">
        <f>IF(ISNUMBER(SEARCH(Start!$D$16,'Context variables'!C202)),MAX($B$1:B201)+1,0)</f>
        <v>0</v>
      </c>
      <c r="C202" s="3" t="s">
        <v>811</v>
      </c>
      <c r="G202" s="3" t="str">
        <f>IF(Start!$D$16="Please select",'Context variables'!C202,IFERROR(VLOOKUP(ROWS($G$3:G202),$B$3:$C$250,2,0),""))</f>
        <v>Sierra Leone</v>
      </c>
    </row>
    <row r="203" spans="1:7" x14ac:dyDescent="0.25">
      <c r="A203" s="3" t="s">
        <v>1009</v>
      </c>
      <c r="B203" s="3">
        <f>IF(ISNUMBER(SEARCH(Start!$D$16,'Context variables'!C203)),MAX($B$1:B202)+1,0)</f>
        <v>0</v>
      </c>
      <c r="C203" s="3" t="s">
        <v>832</v>
      </c>
      <c r="G203" s="3" t="str">
        <f>IF(Start!$D$16="Please select",'Context variables'!C203,IFERROR(VLOOKUP(ROWS($G$3:G203),$B$3:$C$250,2,0),""))</f>
        <v>Singapore</v>
      </c>
    </row>
    <row r="204" spans="1:7" x14ac:dyDescent="0.25">
      <c r="A204" s="3" t="s">
        <v>1017</v>
      </c>
      <c r="B204" s="3">
        <f>IF(ISNUMBER(SEARCH(Start!$D$16,'Context variables'!C204)),MAX($B$1:B203)+1,0)</f>
        <v>0</v>
      </c>
      <c r="C204" s="3" t="s">
        <v>997</v>
      </c>
      <c r="G204" s="3" t="str">
        <f>IF(Start!$D$16="Please select",'Context variables'!C204,IFERROR(VLOOKUP(ROWS($G$3:G204),$B$3:$C$250,2,0),""))</f>
        <v>Sint Maarten (Dutch part)</v>
      </c>
    </row>
    <row r="205" spans="1:7" x14ac:dyDescent="0.25">
      <c r="A205" s="3" t="s">
        <v>1012</v>
      </c>
      <c r="B205" s="3">
        <f>IF(ISNUMBER(SEARCH(Start!$D$16,'Context variables'!C205)),MAX($B$1:B204)+1,0)</f>
        <v>0</v>
      </c>
      <c r="C205" s="3" t="s">
        <v>907</v>
      </c>
      <c r="G205" s="3" t="str">
        <f>IF(Start!$D$16="Please select",'Context variables'!C205,IFERROR(VLOOKUP(ROWS($G$3:G205),$B$3:$C$250,2,0),""))</f>
        <v>Slovakia</v>
      </c>
    </row>
    <row r="206" spans="1:7" x14ac:dyDescent="0.25">
      <c r="A206" s="3" t="s">
        <v>1012</v>
      </c>
      <c r="B206" s="3">
        <f>IF(ISNUMBER(SEARCH(Start!$D$16,'Context variables'!C206)),MAX($B$1:B205)+1,0)</f>
        <v>0</v>
      </c>
      <c r="C206" s="3" t="s">
        <v>908</v>
      </c>
      <c r="G206" s="3" t="str">
        <f>IF(Start!$D$16="Please select",'Context variables'!C206,IFERROR(VLOOKUP(ROWS($G$3:G206),$B$3:$C$250,2,0),""))</f>
        <v>Slovenia</v>
      </c>
    </row>
    <row r="207" spans="1:7" x14ac:dyDescent="0.25">
      <c r="A207" s="3" t="s">
        <v>1013</v>
      </c>
      <c r="B207" s="3">
        <f>IF(ISNUMBER(SEARCH(Start!$D$16,'Context variables'!C207)),MAX($B$1:B206)+1,0)</f>
        <v>0</v>
      </c>
      <c r="C207" s="3" t="s">
        <v>937</v>
      </c>
      <c r="G207" s="3" t="str">
        <f>IF(Start!$D$16="Please select",'Context variables'!C207,IFERROR(VLOOKUP(ROWS($G$3:G207),$B$3:$C$250,2,0),""))</f>
        <v>Solomon Islands</v>
      </c>
    </row>
    <row r="208" spans="1:7" x14ac:dyDescent="0.25">
      <c r="A208" s="3" t="s">
        <v>1002</v>
      </c>
      <c r="B208" s="3">
        <f>IF(ISNUMBER(SEARCH(Start!$D$16,'Context variables'!C208)),MAX($B$1:B207)+1,0)</f>
        <v>0</v>
      </c>
      <c r="C208" s="3" t="s">
        <v>769</v>
      </c>
      <c r="G208" s="3" t="str">
        <f>IF(Start!$D$16="Please select",'Context variables'!C208,IFERROR(VLOOKUP(ROWS($G$3:G208),$B$3:$C$250,2,0),""))</f>
        <v>Somalia</v>
      </c>
    </row>
    <row r="209" spans="1:7" x14ac:dyDescent="0.25">
      <c r="A209" s="3" t="s">
        <v>1005</v>
      </c>
      <c r="B209" s="3">
        <f>IF(ISNUMBER(SEARCH(Start!$D$16,'Context variables'!C209)),MAX($B$1:B208)+1,0)</f>
        <v>0</v>
      </c>
      <c r="C209" s="3" t="s">
        <v>795</v>
      </c>
      <c r="G209" s="3" t="str">
        <f>IF(Start!$D$16="Please select",'Context variables'!C209,IFERROR(VLOOKUP(ROWS($G$3:G209),$B$3:$C$250,2,0),""))</f>
        <v>South Africa</v>
      </c>
    </row>
    <row r="210" spans="1:7" x14ac:dyDescent="0.25">
      <c r="A210" s="3" t="s">
        <v>1015</v>
      </c>
      <c r="B210" s="3">
        <f>IF(ISNUMBER(SEARCH(Start!$D$16,'Context variables'!C210)),MAX($B$1:B209)+1,0)</f>
        <v>0</v>
      </c>
      <c r="C210" s="3" t="s">
        <v>961</v>
      </c>
      <c r="G210" s="3" t="str">
        <f>IF(Start!$D$16="Please select",'Context variables'!C210,IFERROR(VLOOKUP(ROWS($G$3:G210),$B$3:$C$250,2,0),""))</f>
        <v>South Georgia and the South Sandwich Islands</v>
      </c>
    </row>
    <row r="211" spans="1:7" x14ac:dyDescent="0.25">
      <c r="A211" s="3" t="s">
        <v>1002</v>
      </c>
      <c r="B211" s="3">
        <f>IF(ISNUMBER(SEARCH(Start!$D$16,'Context variables'!C211)),MAX($B$1:B210)+1,0)</f>
        <v>0</v>
      </c>
      <c r="C211" s="3" t="s">
        <v>770</v>
      </c>
      <c r="G211" s="3" t="str">
        <f>IF(Start!$D$16="Please select",'Context variables'!C211,IFERROR(VLOOKUP(ROWS($G$3:G211),$B$3:$C$250,2,0),""))</f>
        <v>South Sudan</v>
      </c>
    </row>
    <row r="212" spans="1:7" x14ac:dyDescent="0.25">
      <c r="A212" s="3" t="s">
        <v>1012</v>
      </c>
      <c r="B212" s="3">
        <f>IF(ISNUMBER(SEARCH(Start!$D$16,'Context variables'!C212)),MAX($B$1:B211)+1,0)</f>
        <v>0</v>
      </c>
      <c r="C212" s="3" t="s">
        <v>909</v>
      </c>
      <c r="G212" s="3" t="str">
        <f>IF(Start!$D$16="Please select",'Context variables'!C212,IFERROR(VLOOKUP(ROWS($G$3:G212),$B$3:$C$250,2,0),""))</f>
        <v>Spain</v>
      </c>
    </row>
    <row r="213" spans="1:7" x14ac:dyDescent="0.25">
      <c r="A213" s="3" t="s">
        <v>1010</v>
      </c>
      <c r="B213" s="3">
        <f>IF(ISNUMBER(SEARCH(Start!$D$16,'Context variables'!C213)),MAX($B$1:B212)+1,0)</f>
        <v>0</v>
      </c>
      <c r="C213" s="3" t="s">
        <v>844</v>
      </c>
      <c r="G213" s="3" t="str">
        <f>IF(Start!$D$16="Please select",'Context variables'!C213,IFERROR(VLOOKUP(ROWS($G$3:G213),$B$3:$C$250,2,0),""))</f>
        <v>Sri Lanka</v>
      </c>
    </row>
    <row r="214" spans="1:7" x14ac:dyDescent="0.25">
      <c r="A214" s="3" t="s">
        <v>1011</v>
      </c>
      <c r="B214" s="3">
        <f>IF(ISNUMBER(SEARCH(Start!$D$16,'Context variables'!C214)),MAX($B$1:B213)+1,0)</f>
        <v>0</v>
      </c>
      <c r="C214" s="3" t="s">
        <v>858</v>
      </c>
      <c r="G214" s="3" t="str">
        <f>IF(Start!$D$16="Please select",'Context variables'!C214,IFERROR(VLOOKUP(ROWS($G$3:G214),$B$3:$C$250,2,0),""))</f>
        <v>State of Palestine</v>
      </c>
    </row>
    <row r="215" spans="1:7" x14ac:dyDescent="0.25">
      <c r="A215" s="3" t="s">
        <v>1004</v>
      </c>
      <c r="B215" s="3">
        <f>IF(ISNUMBER(SEARCH(Start!$D$16,'Context variables'!C215)),MAX($B$1:B214)+1,0)</f>
        <v>0</v>
      </c>
      <c r="C215" s="3" t="s">
        <v>788</v>
      </c>
      <c r="G215" s="3" t="str">
        <f>IF(Start!$D$16="Please select",'Context variables'!C215,IFERROR(VLOOKUP(ROWS($G$3:G215),$B$3:$C$250,2,0),""))</f>
        <v>Sudan</v>
      </c>
    </row>
    <row r="216" spans="1:7" x14ac:dyDescent="0.25">
      <c r="A216" s="3" t="s">
        <v>1015</v>
      </c>
      <c r="B216" s="3">
        <f>IF(ISNUMBER(SEARCH(Start!$D$16,'Context variables'!C216)),MAX($B$1:B215)+1,0)</f>
        <v>0</v>
      </c>
      <c r="C216" s="3" t="s">
        <v>962</v>
      </c>
      <c r="G216" s="3" t="str">
        <f>IF(Start!$D$16="Please select",'Context variables'!C216,IFERROR(VLOOKUP(ROWS($G$3:G216),$B$3:$C$250,2,0),""))</f>
        <v>Suriname</v>
      </c>
    </row>
    <row r="217" spans="1:7" x14ac:dyDescent="0.25">
      <c r="A217" s="3" t="s">
        <v>1012</v>
      </c>
      <c r="B217" s="3">
        <f>IF(ISNUMBER(SEARCH(Start!$D$16,'Context variables'!C217)),MAX($B$1:B216)+1,0)</f>
        <v>0</v>
      </c>
      <c r="C217" s="3" t="s">
        <v>910</v>
      </c>
      <c r="G217" s="3" t="str">
        <f>IF(Start!$D$16="Please select",'Context variables'!C217,IFERROR(VLOOKUP(ROWS($G$3:G217),$B$3:$C$250,2,0),""))</f>
        <v>Svalbard and Jan Mayen Islands</v>
      </c>
    </row>
    <row r="218" spans="1:7" x14ac:dyDescent="0.25">
      <c r="A218" s="3" t="s">
        <v>1012</v>
      </c>
      <c r="B218" s="3">
        <f>IF(ISNUMBER(SEARCH(Start!$D$16,'Context variables'!C218)),MAX($B$1:B217)+1,0)</f>
        <v>0</v>
      </c>
      <c r="C218" s="3" t="s">
        <v>911</v>
      </c>
      <c r="G218" s="3" t="str">
        <f>IF(Start!$D$16="Please select",'Context variables'!C218,IFERROR(VLOOKUP(ROWS($G$3:G218),$B$3:$C$250,2,0),""))</f>
        <v>Sweden</v>
      </c>
    </row>
    <row r="219" spans="1:7" x14ac:dyDescent="0.25">
      <c r="A219" s="3" t="s">
        <v>1012</v>
      </c>
      <c r="B219" s="3">
        <f>IF(ISNUMBER(SEARCH(Start!$D$16,'Context variables'!C219)),MAX($B$1:B218)+1,0)</f>
        <v>0</v>
      </c>
      <c r="C219" s="3" t="s">
        <v>912</v>
      </c>
      <c r="G219" s="3" t="str">
        <f>IF(Start!$D$16="Please select",'Context variables'!C219,IFERROR(VLOOKUP(ROWS($G$3:G219),$B$3:$C$250,2,0),""))</f>
        <v>Switzerland</v>
      </c>
    </row>
    <row r="220" spans="1:7" x14ac:dyDescent="0.25">
      <c r="A220" s="3" t="s">
        <v>1011</v>
      </c>
      <c r="B220" s="3">
        <f>IF(ISNUMBER(SEARCH(Start!$D$16,'Context variables'!C220)),MAX($B$1:B219)+1,0)</f>
        <v>0</v>
      </c>
      <c r="C220" s="3" t="s">
        <v>859</v>
      </c>
      <c r="G220" s="3" t="str">
        <f>IF(Start!$D$16="Please select",'Context variables'!C220,IFERROR(VLOOKUP(ROWS($G$3:G220),$B$3:$C$250,2,0),""))</f>
        <v>Syrian Arab Republic</v>
      </c>
    </row>
    <row r="221" spans="1:7" x14ac:dyDescent="0.25">
      <c r="A221" s="3" t="s">
        <v>1007</v>
      </c>
      <c r="B221" s="3">
        <f>IF(ISNUMBER(SEARCH(Start!$D$16,'Context variables'!C221)),MAX($B$1:B220)+1,0)</f>
        <v>0</v>
      </c>
      <c r="C221" s="3" t="s">
        <v>815</v>
      </c>
      <c r="G221" s="3" t="str">
        <f>IF(Start!$D$16="Please select",'Context variables'!C221,IFERROR(VLOOKUP(ROWS($G$3:G221),$B$3:$C$250,2,0),""))</f>
        <v>Tajikistan</v>
      </c>
    </row>
    <row r="222" spans="1:7" x14ac:dyDescent="0.25">
      <c r="A222" s="3" t="s">
        <v>1009</v>
      </c>
      <c r="B222" s="3">
        <f>IF(ISNUMBER(SEARCH(Start!$D$16,'Context variables'!C222)),MAX($B$1:B221)+1,0)</f>
        <v>0</v>
      </c>
      <c r="C222" s="3" t="s">
        <v>833</v>
      </c>
      <c r="G222" s="3" t="str">
        <f>IF(Start!$D$16="Please select",'Context variables'!C222,IFERROR(VLOOKUP(ROWS($G$3:G222),$B$3:$C$250,2,0),""))</f>
        <v>Thailand</v>
      </c>
    </row>
    <row r="223" spans="1:7" x14ac:dyDescent="0.25">
      <c r="A223" s="3" t="s">
        <v>1009</v>
      </c>
      <c r="B223" s="3">
        <f>IF(ISNUMBER(SEARCH(Start!$D$16,'Context variables'!C223)),MAX($B$1:B222)+1,0)</f>
        <v>0</v>
      </c>
      <c r="C223" s="3" t="s">
        <v>834</v>
      </c>
      <c r="G223" s="3" t="str">
        <f>IF(Start!$D$16="Please select",'Context variables'!C223,IFERROR(VLOOKUP(ROWS($G$3:G223),$B$3:$C$250,2,0),""))</f>
        <v>Timor-Leste</v>
      </c>
    </row>
    <row r="224" spans="1:7" x14ac:dyDescent="0.25">
      <c r="A224" s="3" t="s">
        <v>1006</v>
      </c>
      <c r="B224" s="3">
        <f>IF(ISNUMBER(SEARCH(Start!$D$16,'Context variables'!C224)),MAX($B$1:B223)+1,0)</f>
        <v>0</v>
      </c>
      <c r="C224" s="3" t="s">
        <v>812</v>
      </c>
      <c r="G224" s="3" t="str">
        <f>IF(Start!$D$16="Please select",'Context variables'!C224,IFERROR(VLOOKUP(ROWS($G$3:G224),$B$3:$C$250,2,0),""))</f>
        <v>Togo</v>
      </c>
    </row>
    <row r="225" spans="1:7" x14ac:dyDescent="0.25">
      <c r="A225" s="3" t="s">
        <v>1013</v>
      </c>
      <c r="B225" s="3">
        <f>IF(ISNUMBER(SEARCH(Start!$D$16,'Context variables'!C225)),MAX($B$1:B224)+1,0)</f>
        <v>0</v>
      </c>
      <c r="C225" s="3" t="s">
        <v>938</v>
      </c>
      <c r="G225" s="3" t="str">
        <f>IF(Start!$D$16="Please select",'Context variables'!C225,IFERROR(VLOOKUP(ROWS($G$3:G225),$B$3:$C$250,2,0),""))</f>
        <v>Tokelau</v>
      </c>
    </row>
    <row r="226" spans="1:7" x14ac:dyDescent="0.25">
      <c r="A226" s="3" t="s">
        <v>1013</v>
      </c>
      <c r="B226" s="3">
        <f>IF(ISNUMBER(SEARCH(Start!$D$16,'Context variables'!C226)),MAX($B$1:B225)+1,0)</f>
        <v>0</v>
      </c>
      <c r="C226" s="3" t="s">
        <v>939</v>
      </c>
      <c r="G226" s="3" t="str">
        <f>IF(Start!$D$16="Please select",'Context variables'!C226,IFERROR(VLOOKUP(ROWS($G$3:G226),$B$3:$C$250,2,0),""))</f>
        <v>Tonga</v>
      </c>
    </row>
    <row r="227" spans="1:7" x14ac:dyDescent="0.25">
      <c r="A227" s="3" t="s">
        <v>1017</v>
      </c>
      <c r="B227" s="3">
        <f>IF(ISNUMBER(SEARCH(Start!$D$16,'Context variables'!C227)),MAX($B$1:B226)+1,0)</f>
        <v>0</v>
      </c>
      <c r="C227" s="3" t="s">
        <v>998</v>
      </c>
      <c r="G227" s="3" t="str">
        <f>IF(Start!$D$16="Please select",'Context variables'!C227,IFERROR(VLOOKUP(ROWS($G$3:G227),$B$3:$C$250,2,0),""))</f>
        <v>Trinidad and Tobago</v>
      </c>
    </row>
    <row r="228" spans="1:7" x14ac:dyDescent="0.25">
      <c r="A228" s="3" t="s">
        <v>1004</v>
      </c>
      <c r="B228" s="3">
        <f>IF(ISNUMBER(SEARCH(Start!$D$16,'Context variables'!C228)),MAX($B$1:B227)+1,0)</f>
        <v>0</v>
      </c>
      <c r="C228" s="3" t="s">
        <v>789</v>
      </c>
      <c r="G228" s="3" t="str">
        <f>IF(Start!$D$16="Please select",'Context variables'!C228,IFERROR(VLOOKUP(ROWS($G$3:G228),$B$3:$C$250,2,0),""))</f>
        <v>Tunisia</v>
      </c>
    </row>
    <row r="229" spans="1:7" x14ac:dyDescent="0.25">
      <c r="A229" s="3" t="s">
        <v>1011</v>
      </c>
      <c r="B229" s="3">
        <f>IF(ISNUMBER(SEARCH(Start!$D$16,'Context variables'!C229)),MAX($B$1:B228)+1,0)</f>
        <v>0</v>
      </c>
      <c r="C229" s="3" t="s">
        <v>860</v>
      </c>
      <c r="G229" s="3" t="str">
        <f>IF(Start!$D$16="Please select",'Context variables'!C229,IFERROR(VLOOKUP(ROWS($G$3:G229),$B$3:$C$250,2,0),""))</f>
        <v>Turkey</v>
      </c>
    </row>
    <row r="230" spans="1:7" x14ac:dyDescent="0.25">
      <c r="A230" s="3" t="s">
        <v>1007</v>
      </c>
      <c r="B230" s="3">
        <f>IF(ISNUMBER(SEARCH(Start!$D$16,'Context variables'!C230)),MAX($B$1:B229)+1,0)</f>
        <v>0</v>
      </c>
      <c r="C230" s="3" t="s">
        <v>816</v>
      </c>
      <c r="G230" s="3" t="str">
        <f>IF(Start!$D$16="Please select",'Context variables'!C230,IFERROR(VLOOKUP(ROWS($G$3:G230),$B$3:$C$250,2,0),""))</f>
        <v>Turkmenistan</v>
      </c>
    </row>
    <row r="231" spans="1:7" x14ac:dyDescent="0.25">
      <c r="A231" s="3" t="s">
        <v>1017</v>
      </c>
      <c r="B231" s="3">
        <f>IF(ISNUMBER(SEARCH(Start!$D$16,'Context variables'!C231)),MAX($B$1:B230)+1,0)</f>
        <v>0</v>
      </c>
      <c r="C231" s="3" t="s">
        <v>999</v>
      </c>
      <c r="G231" s="3" t="str">
        <f>IF(Start!$D$16="Please select",'Context variables'!C231,IFERROR(VLOOKUP(ROWS($G$3:G231),$B$3:$C$250,2,0),""))</f>
        <v>Turks and Caicos Islands</v>
      </c>
    </row>
    <row r="232" spans="1:7" x14ac:dyDescent="0.25">
      <c r="A232" s="3" t="s">
        <v>1013</v>
      </c>
      <c r="B232" s="3">
        <f>IF(ISNUMBER(SEARCH(Start!$D$16,'Context variables'!C232)),MAX($B$1:B231)+1,0)</f>
        <v>0</v>
      </c>
      <c r="C232" s="3" t="s">
        <v>940</v>
      </c>
      <c r="G232" s="3" t="str">
        <f>IF(Start!$D$16="Please select",'Context variables'!C232,IFERROR(VLOOKUP(ROWS($G$3:G232),$B$3:$C$250,2,0),""))</f>
        <v>Tuvalu</v>
      </c>
    </row>
    <row r="233" spans="1:7" x14ac:dyDescent="0.25">
      <c r="A233" s="3" t="s">
        <v>1002</v>
      </c>
      <c r="B233" s="3">
        <f>IF(ISNUMBER(SEARCH(Start!$D$16,'Context variables'!C233)),MAX($B$1:B232)+1,0)</f>
        <v>0</v>
      </c>
      <c r="C233" s="3" t="s">
        <v>771</v>
      </c>
      <c r="G233" s="3" t="str">
        <f>IF(Start!$D$16="Please select",'Context variables'!C233,IFERROR(VLOOKUP(ROWS($G$3:G233),$B$3:$C$250,2,0),""))</f>
        <v>Uganda</v>
      </c>
    </row>
    <row r="234" spans="1:7" x14ac:dyDescent="0.25">
      <c r="A234" s="3" t="s">
        <v>1012</v>
      </c>
      <c r="B234" s="3">
        <f>IF(ISNUMBER(SEARCH(Start!$D$16,'Context variables'!C234)),MAX($B$1:B233)+1,0)</f>
        <v>0</v>
      </c>
      <c r="C234" s="3" t="s">
        <v>913</v>
      </c>
      <c r="G234" s="3" t="str">
        <f>IF(Start!$D$16="Please select",'Context variables'!C234,IFERROR(VLOOKUP(ROWS($G$3:G234),$B$3:$C$250,2,0),""))</f>
        <v>Ukraine</v>
      </c>
    </row>
    <row r="235" spans="1:7" x14ac:dyDescent="0.25">
      <c r="A235" s="3" t="s">
        <v>1011</v>
      </c>
      <c r="B235" s="3">
        <f>IF(ISNUMBER(SEARCH(Start!$D$16,'Context variables'!C235)),MAX($B$1:B234)+1,0)</f>
        <v>0</v>
      </c>
      <c r="C235" s="3" t="s">
        <v>861</v>
      </c>
      <c r="G235" s="3" t="str">
        <f>IF(Start!$D$16="Please select",'Context variables'!C235,IFERROR(VLOOKUP(ROWS($G$3:G235),$B$3:$C$250,2,0),""))</f>
        <v>United Arab Emirates</v>
      </c>
    </row>
    <row r="236" spans="1:7" x14ac:dyDescent="0.25">
      <c r="A236" s="3" t="s">
        <v>1012</v>
      </c>
      <c r="B236" s="3">
        <f>IF(ISNUMBER(SEARCH(Start!$D$16,'Context variables'!C236)),MAX($B$1:B235)+1,0)</f>
        <v>0</v>
      </c>
      <c r="C236" s="3" t="s">
        <v>914</v>
      </c>
      <c r="G236" s="3" t="str">
        <f>IF(Start!$D$16="Please select",'Context variables'!C236,IFERROR(VLOOKUP(ROWS($G$3:G236),$B$3:$C$250,2,0),""))</f>
        <v>United Kingdom of Great Britain and Northern Ireland</v>
      </c>
    </row>
    <row r="237" spans="1:7" x14ac:dyDescent="0.25">
      <c r="A237" s="3" t="s">
        <v>1002</v>
      </c>
      <c r="B237" s="3">
        <f>IF(ISNUMBER(SEARCH(Start!$D$16,'Context variables'!C237)),MAX($B$1:B236)+1,0)</f>
        <v>0</v>
      </c>
      <c r="C237" s="3" t="s">
        <v>772</v>
      </c>
      <c r="G237" s="3" t="str">
        <f>IF(Start!$D$16="Please select",'Context variables'!C237,IFERROR(VLOOKUP(ROWS($G$3:G237),$B$3:$C$250,2,0),""))</f>
        <v>United Republic of Tanzania</v>
      </c>
    </row>
    <row r="238" spans="1:7" x14ac:dyDescent="0.25">
      <c r="A238" s="3" t="s">
        <v>1013</v>
      </c>
      <c r="B238" s="3">
        <f>IF(ISNUMBER(SEARCH(Start!$D$16,'Context variables'!C238)),MAX($B$1:B237)+1,0)</f>
        <v>0</v>
      </c>
      <c r="C238" s="3" t="s">
        <v>941</v>
      </c>
      <c r="G238" s="3" t="str">
        <f>IF(Start!$D$16="Please select",'Context variables'!C238,IFERROR(VLOOKUP(ROWS($G$3:G238),$B$3:$C$250,2,0),""))</f>
        <v>United States Minor Outlying Islands</v>
      </c>
    </row>
    <row r="239" spans="1:7" x14ac:dyDescent="0.25">
      <c r="A239" s="3" t="s">
        <v>1014</v>
      </c>
      <c r="B239" s="3">
        <f>IF(ISNUMBER(SEARCH(Start!$D$16,'Context variables'!C239)),MAX($B$1:B238)+1,0)</f>
        <v>0</v>
      </c>
      <c r="C239" s="3" t="s">
        <v>948</v>
      </c>
      <c r="G239" s="3" t="str">
        <f>IF(Start!$D$16="Please select",'Context variables'!C239,IFERROR(VLOOKUP(ROWS($G$3:G239),$B$3:$C$250,2,0),""))</f>
        <v>United States of America</v>
      </c>
    </row>
    <row r="240" spans="1:7" x14ac:dyDescent="0.25">
      <c r="A240" s="3" t="s">
        <v>1017</v>
      </c>
      <c r="B240" s="3">
        <f>IF(ISNUMBER(SEARCH(Start!$D$16,'Context variables'!C240)),MAX($B$1:B239)+1,0)</f>
        <v>0</v>
      </c>
      <c r="C240" s="3" t="s">
        <v>1000</v>
      </c>
      <c r="G240" s="3" t="str">
        <f>IF(Start!$D$16="Please select",'Context variables'!C240,IFERROR(VLOOKUP(ROWS($G$3:G240),$B$3:$C$250,2,0),""))</f>
        <v>United States Virgin Islands</v>
      </c>
    </row>
    <row r="241" spans="1:7" x14ac:dyDescent="0.25">
      <c r="A241" s="3" t="s">
        <v>1015</v>
      </c>
      <c r="B241" s="3">
        <f>IF(ISNUMBER(SEARCH(Start!$D$16,'Context variables'!C241)),MAX($B$1:B240)+1,0)</f>
        <v>0</v>
      </c>
      <c r="C241" s="3" t="s">
        <v>963</v>
      </c>
      <c r="G241" s="3" t="str">
        <f>IF(Start!$D$16="Please select",'Context variables'!C241,IFERROR(VLOOKUP(ROWS($G$3:G241),$B$3:$C$250,2,0),""))</f>
        <v>Uruguay</v>
      </c>
    </row>
    <row r="242" spans="1:7" x14ac:dyDescent="0.25">
      <c r="A242" s="3" t="s">
        <v>1007</v>
      </c>
      <c r="B242" s="3">
        <f>IF(ISNUMBER(SEARCH(Start!$D$16,'Context variables'!C242)),MAX($B$1:B241)+1,0)</f>
        <v>0</v>
      </c>
      <c r="C242" s="3" t="s">
        <v>817</v>
      </c>
      <c r="G242" s="3" t="str">
        <f>IF(Start!$D$16="Please select",'Context variables'!C242,IFERROR(VLOOKUP(ROWS($G$3:G242),$B$3:$C$250,2,0),""))</f>
        <v>Uzbekistan</v>
      </c>
    </row>
    <row r="243" spans="1:7" x14ac:dyDescent="0.25">
      <c r="A243" s="3" t="s">
        <v>1013</v>
      </c>
      <c r="B243" s="3">
        <f>IF(ISNUMBER(SEARCH(Start!$D$16,'Context variables'!C243)),MAX($B$1:B242)+1,0)</f>
        <v>0</v>
      </c>
      <c r="C243" s="3" t="s">
        <v>942</v>
      </c>
      <c r="G243" s="3" t="str">
        <f>IF(Start!$D$16="Please select",'Context variables'!C243,IFERROR(VLOOKUP(ROWS($G$3:G243),$B$3:$C$250,2,0),""))</f>
        <v>Vanuatu</v>
      </c>
    </row>
    <row r="244" spans="1:7" x14ac:dyDescent="0.25">
      <c r="A244" s="3" t="s">
        <v>1015</v>
      </c>
      <c r="B244" s="3">
        <f>IF(ISNUMBER(SEARCH(Start!$D$16,'Context variables'!C244)),MAX($B$1:B243)+1,0)</f>
        <v>0</v>
      </c>
      <c r="C244" s="3" t="s">
        <v>964</v>
      </c>
      <c r="G244" s="3" t="str">
        <f>IF(Start!$D$16="Please select",'Context variables'!C244,IFERROR(VLOOKUP(ROWS($G$3:G244),$B$3:$C$250,2,0),""))</f>
        <v>Venezuela</v>
      </c>
    </row>
    <row r="245" spans="1:7" x14ac:dyDescent="0.25">
      <c r="A245" s="3" t="s">
        <v>1009</v>
      </c>
      <c r="B245" s="3">
        <f>IF(ISNUMBER(SEARCH(Start!$D$16,'Context variables'!C245)),MAX($B$1:B244)+1,0)</f>
        <v>0</v>
      </c>
      <c r="C245" s="3" t="s">
        <v>835</v>
      </c>
      <c r="G245" s="3" t="str">
        <f>IF(Start!$D$16="Please select",'Context variables'!C245,IFERROR(VLOOKUP(ROWS($G$3:G245),$B$3:$C$250,2,0),""))</f>
        <v>Viet Nam</v>
      </c>
    </row>
    <row r="246" spans="1:7" x14ac:dyDescent="0.25">
      <c r="A246" s="3" t="s">
        <v>1013</v>
      </c>
      <c r="B246" s="3">
        <f>IF(ISNUMBER(SEARCH(Start!$D$16,'Context variables'!C246)),MAX($B$1:B245)+1,0)</f>
        <v>0</v>
      </c>
      <c r="C246" s="3" t="s">
        <v>943</v>
      </c>
      <c r="G246" s="3" t="str">
        <f>IF(Start!$D$16="Please select",'Context variables'!C246,IFERROR(VLOOKUP(ROWS($G$3:G246),$B$3:$C$250,2,0),""))</f>
        <v>Wallis and Futuna Islands</v>
      </c>
    </row>
    <row r="247" spans="1:7" x14ac:dyDescent="0.25">
      <c r="A247" s="3" t="s">
        <v>1004</v>
      </c>
      <c r="B247" s="3">
        <f>IF(ISNUMBER(SEARCH(Start!$D$16,'Context variables'!C247)),MAX($B$1:B246)+1,0)</f>
        <v>0</v>
      </c>
      <c r="C247" s="3" t="s">
        <v>790</v>
      </c>
      <c r="G247" s="3" t="str">
        <f>IF(Start!$D$16="Please select",'Context variables'!C247,IFERROR(VLOOKUP(ROWS($G$3:G247),$B$3:$C$250,2,0),""))</f>
        <v>Western Sahara</v>
      </c>
    </row>
    <row r="248" spans="1:7" x14ac:dyDescent="0.25">
      <c r="A248" s="3" t="s">
        <v>1011</v>
      </c>
      <c r="B248" s="3">
        <f>IF(ISNUMBER(SEARCH(Start!$D$16,'Context variables'!C248)),MAX($B$1:B247)+1,0)</f>
        <v>0</v>
      </c>
      <c r="C248" s="3" t="s">
        <v>862</v>
      </c>
      <c r="G248" s="3" t="str">
        <f>IF(Start!$D$16="Please select",'Context variables'!C248,IFERROR(VLOOKUP(ROWS($G$3:G248),$B$3:$C$250,2,0),""))</f>
        <v>Yemen</v>
      </c>
    </row>
    <row r="249" spans="1:7" x14ac:dyDescent="0.25">
      <c r="A249" s="3" t="s">
        <v>1002</v>
      </c>
      <c r="B249" s="3">
        <f>IF(ISNUMBER(SEARCH(Start!$D$16,'Context variables'!C249)),MAX($B$1:B248)+1,0)</f>
        <v>0</v>
      </c>
      <c r="C249" s="3" t="s">
        <v>773</v>
      </c>
      <c r="G249" s="3" t="str">
        <f>IF(Start!$D$16="Please select",'Context variables'!C249,IFERROR(VLOOKUP(ROWS($G$3:G249),$B$3:$C$250,2,0),""))</f>
        <v>Zambia</v>
      </c>
    </row>
    <row r="250" spans="1:7" x14ac:dyDescent="0.25">
      <c r="A250" s="3" t="s">
        <v>1002</v>
      </c>
      <c r="B250" s="3">
        <f>IF(ISNUMBER(SEARCH(Start!$D$16,'Context variables'!C250)),MAX($B$1:B249)+1,0)</f>
        <v>0</v>
      </c>
      <c r="C250" s="3" t="s">
        <v>774</v>
      </c>
      <c r="G250" s="3" t="str">
        <f>IF(Start!$D$16="Please select",'Context variables'!C250,IFERROR(VLOOKUP(ROWS($G$3:G250),$B$3:$C$250,2,0),""))</f>
        <v>Zimbabwe</v>
      </c>
    </row>
    <row r="274" spans="1:3" x14ac:dyDescent="0.25">
      <c r="A274"/>
      <c r="B274"/>
      <c r="C274"/>
    </row>
    <row r="275" spans="1:3" x14ac:dyDescent="0.25">
      <c r="A275"/>
      <c r="B275"/>
      <c r="C275"/>
    </row>
    <row r="276" spans="1:3" x14ac:dyDescent="0.25">
      <c r="A276"/>
      <c r="B276"/>
      <c r="C276"/>
    </row>
    <row r="277" spans="1:3" x14ac:dyDescent="0.25">
      <c r="A277"/>
      <c r="B277"/>
      <c r="C277"/>
    </row>
    <row r="278" spans="1:3" x14ac:dyDescent="0.25">
      <c r="A278"/>
      <c r="B278"/>
      <c r="C278"/>
    </row>
    <row r="279" spans="1:3" x14ac:dyDescent="0.25">
      <c r="A279"/>
      <c r="B279"/>
      <c r="C279"/>
    </row>
  </sheetData>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5F6B6D"/>
  </sheetPr>
  <dimension ref="A1:CX176"/>
  <sheetViews>
    <sheetView zoomScale="80" zoomScaleNormal="80" workbookViewId="0">
      <pane xSplit="22" topLeftCell="W1" activePane="topRight" state="frozen"/>
      <selection pane="topRight"/>
    </sheetView>
  </sheetViews>
  <sheetFormatPr defaultColWidth="9.1796875" defaultRowHeight="13" x14ac:dyDescent="0.3"/>
  <cols>
    <col min="1" max="1" width="5.81640625" style="135" customWidth="1"/>
    <col min="2" max="2" width="6.1796875" style="135" customWidth="1"/>
    <col min="3" max="3" width="3.1796875" style="135" customWidth="1"/>
    <col min="4" max="4" width="16.81640625" style="135" customWidth="1"/>
    <col min="5" max="5" width="4.7265625" style="135" customWidth="1"/>
    <col min="6" max="6" width="2.1796875" style="135" customWidth="1"/>
    <col min="7" max="7" width="17.7265625" style="135" customWidth="1"/>
    <col min="8" max="8" width="2.1796875" style="135" customWidth="1"/>
    <col min="9" max="9" width="20" style="135" customWidth="1"/>
    <col min="10" max="11" width="2.7265625" style="135" customWidth="1"/>
    <col min="12" max="12" width="1.26953125" style="135" customWidth="1"/>
    <col min="13" max="13" width="13.54296875" style="135" customWidth="1"/>
    <col min="14" max="14" width="2.1796875" style="135" customWidth="1"/>
    <col min="15" max="15" width="17.7265625" style="135" customWidth="1"/>
    <col min="16" max="16" width="2.1796875" style="135" customWidth="1"/>
    <col min="17" max="17" width="20" style="135" customWidth="1"/>
    <col min="18" max="19" width="2.81640625" style="135" customWidth="1"/>
    <col min="20" max="20" width="1.26953125" style="135" customWidth="1"/>
    <col min="21" max="21" width="13.54296875" style="135" customWidth="1"/>
    <col min="22" max="23" width="7.1796875" style="135" customWidth="1"/>
    <col min="24" max="53" width="2.81640625" style="135" customWidth="1"/>
    <col min="54" max="55" width="18.54296875" style="135" customWidth="1"/>
    <col min="56" max="56" width="17.81640625" style="135" customWidth="1"/>
    <col min="57" max="57" width="2.1796875" style="135" customWidth="1"/>
    <col min="58" max="58" width="17.81640625" style="135" customWidth="1"/>
    <col min="59" max="59" width="14.26953125" style="135" customWidth="1"/>
    <col min="60" max="60" width="17.81640625" style="135" customWidth="1"/>
    <col min="61" max="61" width="2.1796875" style="135" customWidth="1"/>
    <col min="62" max="64" width="17.81640625" style="135" customWidth="1"/>
    <col min="65" max="65" width="2.1796875" style="135" customWidth="1"/>
    <col min="66" max="66" width="17.81640625" style="135" customWidth="1"/>
    <col min="67" max="67" width="14.26953125" style="135" customWidth="1"/>
    <col min="68" max="68" width="17.81640625" style="135" customWidth="1"/>
    <col min="69" max="69" width="2.1796875" style="135" customWidth="1"/>
    <col min="70" max="70" width="18" style="135" customWidth="1"/>
    <col min="71" max="71" width="0.1796875" style="135" customWidth="1"/>
    <col min="72" max="72" width="17.81640625" style="135" customWidth="1"/>
    <col min="73" max="73" width="4.1796875" style="135" customWidth="1"/>
    <col min="74" max="74" width="14.26953125" style="135" customWidth="1"/>
    <col min="75" max="75" width="0.1796875" style="135" customWidth="1"/>
    <col min="76" max="76" width="14.26953125" style="135" customWidth="1"/>
    <col min="77" max="77" width="4.26953125" style="135" customWidth="1"/>
    <col min="78" max="78" width="14.26953125" style="135" customWidth="1"/>
    <col min="79" max="79" width="0.1796875" style="135" customWidth="1"/>
    <col min="80" max="80" width="14.26953125" style="135" customWidth="1"/>
    <col min="81" max="81" width="4.26953125" style="135" customWidth="1"/>
    <col min="82" max="82" width="14.26953125" style="135" customWidth="1"/>
    <col min="83" max="83" width="0.1796875" style="135" customWidth="1"/>
    <col min="84" max="84" width="14.26953125" style="138" customWidth="1"/>
    <col min="85" max="85" width="10" style="135" customWidth="1"/>
    <col min="86" max="86" width="14.1796875" style="135" customWidth="1"/>
    <col min="87" max="87" width="0.1796875" style="135" customWidth="1"/>
    <col min="88" max="88" width="14.26953125" style="135" customWidth="1"/>
    <col min="89" max="89" width="2.1796875" style="135" customWidth="1"/>
    <col min="90" max="90" width="9.1796875" style="135"/>
    <col min="91" max="91" width="0.1796875" style="135" customWidth="1"/>
    <col min="92" max="92" width="14.1796875" style="135" customWidth="1"/>
    <col min="93" max="93" width="0.26953125" style="135" customWidth="1"/>
    <col min="94" max="94" width="14.26953125" style="135" customWidth="1"/>
    <col min="95" max="95" width="0.1796875" style="135" customWidth="1"/>
    <col min="96" max="96" width="14.1796875" style="135" customWidth="1"/>
    <col min="97" max="97" width="10" style="135" customWidth="1"/>
    <col min="98" max="98" width="14.1796875" style="135" customWidth="1"/>
    <col min="99" max="99" width="0.26953125" style="135" customWidth="1"/>
    <col min="100" max="100" width="14.26953125" style="135" customWidth="1"/>
    <col min="101" max="101" width="0.1796875" style="135" customWidth="1"/>
    <col min="102" max="102" width="14.1796875" style="135" customWidth="1"/>
    <col min="103" max="16384" width="9.1796875" style="135"/>
  </cols>
  <sheetData>
    <row r="1" spans="1:102" s="126" customFormat="1" ht="15" customHeight="1" x14ac:dyDescent="0.3">
      <c r="CF1" s="127"/>
    </row>
    <row r="2" spans="1:102" s="126" customFormat="1" ht="15" customHeight="1" x14ac:dyDescent="0.3">
      <c r="CF2" s="127"/>
    </row>
    <row r="3" spans="1:102" s="126" customFormat="1" ht="15" customHeight="1" x14ac:dyDescent="0.3">
      <c r="CF3" s="127"/>
    </row>
    <row r="4" spans="1:102" s="126" customFormat="1" ht="15" customHeight="1" x14ac:dyDescent="0.3">
      <c r="CF4" s="127"/>
    </row>
    <row r="5" spans="1:102" s="128" customFormat="1" ht="15" customHeight="1" x14ac:dyDescent="0.3">
      <c r="CF5" s="129"/>
    </row>
    <row r="6" spans="1:102" s="130" customFormat="1" ht="16.5" customHeight="1" x14ac:dyDescent="0.3">
      <c r="A6" s="424" t="s">
        <v>1035</v>
      </c>
      <c r="B6" s="424"/>
      <c r="C6" s="424"/>
      <c r="D6" s="424"/>
      <c r="E6" s="424"/>
      <c r="F6" s="424"/>
      <c r="G6" s="424"/>
      <c r="H6" s="424"/>
      <c r="I6" s="424"/>
      <c r="J6" s="424"/>
      <c r="K6" s="424"/>
      <c r="L6" s="424"/>
      <c r="M6" s="424"/>
      <c r="N6" s="424"/>
      <c r="O6" s="424"/>
      <c r="P6" s="424"/>
      <c r="Q6" s="424"/>
      <c r="R6" s="424"/>
      <c r="S6" s="424"/>
      <c r="T6" s="424"/>
      <c r="U6" s="424"/>
      <c r="V6" s="424"/>
      <c r="W6" s="424"/>
      <c r="X6" s="424"/>
      <c r="Y6" s="424"/>
      <c r="Z6" s="424"/>
      <c r="AA6" s="424"/>
      <c r="AB6" s="424"/>
      <c r="AC6" s="424"/>
      <c r="AD6" s="424"/>
      <c r="AE6" s="424"/>
      <c r="AF6" s="424"/>
      <c r="AG6" s="424"/>
      <c r="AH6" s="424"/>
      <c r="AI6" s="424"/>
      <c r="AJ6" s="424"/>
      <c r="AK6" s="424"/>
      <c r="AL6" s="424"/>
      <c r="AM6" s="424"/>
      <c r="AN6" s="424"/>
      <c r="AO6" s="424"/>
      <c r="AP6" s="424"/>
      <c r="AQ6" s="424"/>
      <c r="AR6" s="424"/>
      <c r="AS6" s="424"/>
      <c r="AT6" s="424"/>
      <c r="AU6" s="424"/>
      <c r="AV6" s="424"/>
      <c r="AW6" s="424"/>
      <c r="AX6" s="424"/>
      <c r="AY6" s="424"/>
      <c r="AZ6" s="424"/>
      <c r="BA6" s="424"/>
      <c r="BB6" s="424"/>
      <c r="BC6" s="424"/>
      <c r="BD6" s="424"/>
      <c r="BE6" s="424"/>
      <c r="BF6" s="424"/>
      <c r="BG6" s="424"/>
      <c r="BH6" s="424"/>
      <c r="BI6" s="424"/>
      <c r="BJ6" s="424"/>
      <c r="BK6" s="424"/>
      <c r="BL6" s="424"/>
      <c r="BM6" s="424"/>
      <c r="BN6" s="424"/>
      <c r="BO6" s="424"/>
      <c r="BP6" s="424"/>
      <c r="BQ6" s="424"/>
      <c r="BR6" s="424"/>
      <c r="BS6" s="424"/>
      <c r="BT6" s="424"/>
      <c r="BU6" s="424"/>
      <c r="CF6" s="131"/>
    </row>
    <row r="7" spans="1:102" s="130" customFormat="1" ht="16.5" customHeight="1" x14ac:dyDescent="0.3">
      <c r="A7" s="424"/>
      <c r="B7" s="424"/>
      <c r="C7" s="424"/>
      <c r="D7" s="424"/>
      <c r="E7" s="424"/>
      <c r="F7" s="424"/>
      <c r="G7" s="424"/>
      <c r="H7" s="424"/>
      <c r="I7" s="424"/>
      <c r="J7" s="424"/>
      <c r="K7" s="424"/>
      <c r="L7" s="424"/>
      <c r="M7" s="424"/>
      <c r="N7" s="424"/>
      <c r="O7" s="424"/>
      <c r="P7" s="424"/>
      <c r="Q7" s="424"/>
      <c r="R7" s="424"/>
      <c r="S7" s="424"/>
      <c r="T7" s="424"/>
      <c r="U7" s="424"/>
      <c r="V7" s="424"/>
      <c r="W7" s="424"/>
      <c r="X7" s="424"/>
      <c r="Y7" s="424"/>
      <c r="Z7" s="424"/>
      <c r="AA7" s="424"/>
      <c r="AB7" s="424"/>
      <c r="AC7" s="424"/>
      <c r="AD7" s="424"/>
      <c r="AE7" s="424"/>
      <c r="AF7" s="424"/>
      <c r="AG7" s="424"/>
      <c r="AH7" s="424"/>
      <c r="AI7" s="424"/>
      <c r="AJ7" s="424"/>
      <c r="AK7" s="424"/>
      <c r="AL7" s="424"/>
      <c r="AM7" s="424"/>
      <c r="AN7" s="424"/>
      <c r="AO7" s="424"/>
      <c r="AP7" s="424"/>
      <c r="AQ7" s="424"/>
      <c r="AR7" s="424"/>
      <c r="AS7" s="424"/>
      <c r="AT7" s="424"/>
      <c r="AU7" s="424"/>
      <c r="AV7" s="424"/>
      <c r="AW7" s="424"/>
      <c r="AX7" s="424"/>
      <c r="AY7" s="424"/>
      <c r="AZ7" s="424"/>
      <c r="BA7" s="424"/>
      <c r="BB7" s="424"/>
      <c r="BC7" s="424"/>
      <c r="BD7" s="424"/>
      <c r="BE7" s="424"/>
      <c r="BF7" s="424"/>
      <c r="BG7" s="424"/>
      <c r="BH7" s="424"/>
      <c r="BI7" s="424"/>
      <c r="BJ7" s="424"/>
      <c r="BK7" s="424"/>
      <c r="BL7" s="424"/>
      <c r="BM7" s="424"/>
      <c r="BN7" s="424"/>
      <c r="BO7" s="424"/>
      <c r="BP7" s="424"/>
      <c r="BQ7" s="424"/>
      <c r="BR7" s="424"/>
      <c r="BS7" s="424"/>
      <c r="BT7" s="424"/>
      <c r="BU7" s="424"/>
      <c r="CF7" s="131"/>
    </row>
    <row r="8" spans="1:102" ht="14.5" x14ac:dyDescent="0.35">
      <c r="A8" s="132"/>
      <c r="B8" s="132"/>
      <c r="C8" s="132"/>
      <c r="D8" s="132"/>
      <c r="E8" s="132"/>
      <c r="F8" s="132"/>
      <c r="G8" s="133"/>
      <c r="H8" s="133"/>
      <c r="I8" s="133"/>
      <c r="J8" s="134"/>
      <c r="K8" s="134"/>
      <c r="L8" s="134"/>
      <c r="U8" s="132"/>
      <c r="V8" s="136"/>
      <c r="W8" s="136"/>
      <c r="X8" s="136"/>
      <c r="Y8" s="136"/>
      <c r="Z8" s="136"/>
      <c r="AA8" s="136"/>
      <c r="AB8" s="136"/>
      <c r="AC8" s="136"/>
      <c r="AD8" s="136"/>
      <c r="AE8" s="136"/>
      <c r="AF8" s="136"/>
      <c r="AG8" s="136"/>
      <c r="AH8" s="136"/>
      <c r="AI8" s="136"/>
      <c r="AJ8" s="136"/>
      <c r="AK8" s="136"/>
      <c r="AL8" s="136"/>
      <c r="AM8" s="136"/>
      <c r="AN8" s="136"/>
      <c r="AO8" s="136"/>
      <c r="AP8" s="136"/>
      <c r="AQ8" s="136"/>
      <c r="AR8" s="136"/>
      <c r="AS8" s="136"/>
      <c r="AT8" s="136"/>
      <c r="AU8" s="136"/>
      <c r="AV8" s="136"/>
      <c r="AW8" s="136"/>
      <c r="AX8" s="136"/>
      <c r="AY8" s="136"/>
      <c r="AZ8" s="136"/>
      <c r="BA8" s="136"/>
      <c r="BB8" s="136"/>
      <c r="BC8" s="136"/>
      <c r="BD8" s="136"/>
      <c r="BE8" s="136"/>
      <c r="BF8" s="137"/>
    </row>
    <row r="9" spans="1:102" ht="16.5" customHeight="1" x14ac:dyDescent="0.35">
      <c r="A9" s="139"/>
      <c r="B9" s="139"/>
      <c r="C9" s="139"/>
      <c r="D9" s="132"/>
      <c r="E9" s="132"/>
      <c r="F9" s="132"/>
    </row>
    <row r="10" spans="1:102" ht="16.5" customHeight="1" x14ac:dyDescent="0.45">
      <c r="A10" s="139"/>
      <c r="B10" s="139"/>
      <c r="C10" s="139"/>
      <c r="D10" s="434" t="s">
        <v>13</v>
      </c>
      <c r="E10" s="434"/>
      <c r="F10" s="434"/>
      <c r="G10" s="434"/>
      <c r="H10" s="140"/>
      <c r="N10" s="141"/>
      <c r="O10" s="141"/>
      <c r="P10" s="141"/>
      <c r="Q10" s="141"/>
      <c r="R10" s="141"/>
      <c r="S10" s="141"/>
      <c r="T10" s="141"/>
      <c r="U10" s="141"/>
      <c r="BL10" s="438" t="s">
        <v>333</v>
      </c>
      <c r="BM10" s="438"/>
      <c r="BN10" s="438"/>
      <c r="CB10" s="138"/>
      <c r="CF10" s="135"/>
    </row>
    <row r="11" spans="1:102" ht="16.5" customHeight="1" x14ac:dyDescent="0.3">
      <c r="A11" s="139"/>
      <c r="B11" s="139"/>
      <c r="C11" s="139"/>
      <c r="D11" s="142" t="s">
        <v>14</v>
      </c>
      <c r="E11" s="142"/>
      <c r="F11" s="142"/>
      <c r="G11" s="142" t="s">
        <v>15</v>
      </c>
      <c r="H11" s="142"/>
      <c r="BL11" s="437" t="s">
        <v>8</v>
      </c>
      <c r="BM11" s="437"/>
      <c r="BN11" s="437"/>
      <c r="CB11" s="138"/>
      <c r="CF11" s="135"/>
    </row>
    <row r="12" spans="1:102" ht="16.5" customHeight="1" x14ac:dyDescent="0.35">
      <c r="A12" s="139"/>
      <c r="B12" s="132"/>
      <c r="C12" s="132"/>
      <c r="D12" s="143">
        <v>30</v>
      </c>
      <c r="E12" s="144"/>
      <c r="F12" s="145"/>
      <c r="G12" s="143">
        <v>30</v>
      </c>
      <c r="H12" s="145"/>
      <c r="I12" s="145"/>
      <c r="J12" s="146"/>
      <c r="K12" s="146"/>
      <c r="L12" s="146"/>
      <c r="N12" s="396"/>
      <c r="O12" s="396"/>
      <c r="P12" s="396"/>
      <c r="Q12" s="396"/>
      <c r="R12" s="396"/>
      <c r="S12" s="396"/>
      <c r="T12" s="396"/>
      <c r="U12" s="396"/>
      <c r="V12" s="147"/>
      <c r="W12" s="147"/>
      <c r="X12" s="147"/>
      <c r="Y12" s="147"/>
      <c r="Z12" s="147"/>
      <c r="AA12" s="147"/>
      <c r="AB12" s="147"/>
      <c r="AC12" s="147"/>
      <c r="AD12" s="147"/>
      <c r="AE12" s="147"/>
      <c r="AF12" s="147"/>
      <c r="AG12" s="147"/>
      <c r="AH12" s="147"/>
      <c r="AI12" s="147"/>
      <c r="AJ12" s="147"/>
      <c r="AK12" s="147"/>
      <c r="AL12" s="147"/>
      <c r="AM12" s="147"/>
      <c r="AN12" s="147"/>
      <c r="AO12" s="147"/>
      <c r="AP12" s="147"/>
      <c r="AQ12" s="147"/>
      <c r="AR12" s="147"/>
      <c r="AS12" s="147"/>
      <c r="AT12" s="147"/>
      <c r="AU12" s="147"/>
      <c r="AV12" s="147"/>
      <c r="AW12" s="147"/>
      <c r="AX12" s="147"/>
      <c r="AY12" s="147"/>
      <c r="AZ12" s="147"/>
      <c r="BA12" s="147"/>
      <c r="BB12" s="147"/>
      <c r="BC12" s="147"/>
      <c r="BD12" s="147"/>
      <c r="BE12" s="147"/>
      <c r="BF12" s="147"/>
      <c r="CB12" s="138"/>
      <c r="CF12" s="135"/>
    </row>
    <row r="13" spans="1:102" ht="16.5" customHeight="1" x14ac:dyDescent="0.35">
      <c r="A13" s="132"/>
      <c r="B13" s="132"/>
      <c r="C13" s="132"/>
      <c r="D13" s="148"/>
      <c r="E13" s="148"/>
      <c r="F13" s="148"/>
      <c r="G13" s="148"/>
      <c r="H13" s="148"/>
      <c r="I13" s="145"/>
      <c r="J13" s="146"/>
      <c r="K13" s="146"/>
      <c r="L13" s="146"/>
      <c r="M13" s="146"/>
      <c r="N13" s="149"/>
      <c r="O13" s="149"/>
      <c r="P13" s="149"/>
      <c r="Q13" s="147"/>
      <c r="R13" s="147"/>
      <c r="S13" s="147"/>
      <c r="T13" s="147"/>
      <c r="U13" s="147"/>
      <c r="V13" s="147"/>
      <c r="W13" s="147"/>
      <c r="X13" s="147"/>
      <c r="Y13" s="147"/>
      <c r="Z13" s="147"/>
      <c r="AA13" s="147"/>
      <c r="AB13" s="147"/>
      <c r="AC13" s="147"/>
      <c r="AD13" s="147"/>
      <c r="AE13" s="147"/>
      <c r="AF13" s="147"/>
      <c r="AG13" s="147"/>
      <c r="AH13" s="147"/>
      <c r="AI13" s="147"/>
      <c r="AJ13" s="147"/>
      <c r="AK13" s="147"/>
      <c r="AL13" s="147"/>
      <c r="AM13" s="147"/>
      <c r="AN13" s="147"/>
      <c r="AO13" s="147"/>
      <c r="AP13" s="147"/>
      <c r="AQ13" s="147"/>
      <c r="AR13" s="147"/>
      <c r="AS13" s="147"/>
      <c r="AT13" s="147"/>
      <c r="AU13" s="147"/>
      <c r="AV13" s="147"/>
      <c r="AW13" s="147"/>
      <c r="AX13" s="147"/>
      <c r="AY13" s="147"/>
      <c r="AZ13" s="147"/>
      <c r="BA13" s="147"/>
      <c r="BB13" s="147"/>
      <c r="BC13" s="147"/>
      <c r="BD13" s="147"/>
      <c r="BE13" s="147"/>
      <c r="BF13" s="147"/>
      <c r="CB13" s="138"/>
      <c r="CF13" s="135"/>
    </row>
    <row r="14" spans="1:102" ht="16.5" customHeight="1" x14ac:dyDescent="0.35">
      <c r="A14" s="132"/>
      <c r="B14" s="132"/>
      <c r="C14" s="132"/>
      <c r="D14" s="148"/>
      <c r="E14" s="148"/>
      <c r="F14" s="148"/>
      <c r="G14" s="148"/>
      <c r="H14" s="148"/>
      <c r="I14" s="145"/>
      <c r="J14" s="146"/>
      <c r="K14" s="146"/>
      <c r="L14" s="146"/>
      <c r="M14" s="146"/>
      <c r="N14" s="146"/>
      <c r="O14" s="146"/>
      <c r="P14" s="146"/>
      <c r="Q14" s="147"/>
      <c r="R14" s="147"/>
      <c r="S14" s="147"/>
      <c r="T14" s="147"/>
      <c r="U14" s="147"/>
      <c r="V14" s="147"/>
      <c r="W14" s="147"/>
      <c r="X14" s="147"/>
      <c r="Y14" s="147"/>
      <c r="Z14" s="147"/>
      <c r="AA14" s="147"/>
      <c r="AB14" s="147"/>
      <c r="AC14" s="147"/>
      <c r="AD14" s="147"/>
      <c r="AE14" s="147"/>
      <c r="AF14" s="147"/>
      <c r="AG14" s="147"/>
      <c r="AH14" s="147"/>
      <c r="AI14" s="147"/>
      <c r="AJ14" s="147"/>
      <c r="AK14" s="147"/>
      <c r="AL14" s="147"/>
      <c r="AM14" s="147"/>
      <c r="AN14" s="147"/>
      <c r="AO14" s="147"/>
      <c r="AP14" s="147"/>
      <c r="AQ14" s="147"/>
      <c r="AR14" s="147"/>
      <c r="AS14" s="147"/>
      <c r="AT14" s="147"/>
      <c r="AU14" s="147"/>
      <c r="AV14" s="147"/>
      <c r="AW14" s="147"/>
      <c r="AX14" s="147"/>
      <c r="AY14" s="147"/>
      <c r="AZ14" s="147"/>
      <c r="BA14" s="147"/>
      <c r="BB14" s="147"/>
      <c r="BC14" s="147"/>
      <c r="BD14" s="147"/>
      <c r="BE14" s="147"/>
      <c r="BF14" s="147"/>
      <c r="CB14" s="138"/>
      <c r="CF14" s="135"/>
      <c r="CH14" s="446" t="s">
        <v>512</v>
      </c>
      <c r="CI14" s="446"/>
      <c r="CJ14" s="446"/>
    </row>
    <row r="15" spans="1:102" ht="18.75" customHeight="1" x14ac:dyDescent="0.4">
      <c r="A15" s="132"/>
      <c r="B15" s="132"/>
      <c r="C15" s="132"/>
      <c r="D15" s="145"/>
      <c r="E15" s="145"/>
      <c r="F15" s="145"/>
      <c r="G15" s="416" t="s">
        <v>16</v>
      </c>
      <c r="H15" s="416"/>
      <c r="I15" s="416"/>
      <c r="J15" s="416"/>
      <c r="K15" s="416"/>
      <c r="L15" s="416"/>
      <c r="M15" s="416"/>
      <c r="N15" s="416"/>
      <c r="O15" s="416"/>
      <c r="P15" s="416"/>
      <c r="Q15" s="416"/>
      <c r="R15" s="416"/>
      <c r="S15" s="416"/>
      <c r="T15" s="416"/>
      <c r="U15" s="416"/>
      <c r="V15" s="416"/>
      <c r="W15" s="150"/>
      <c r="X15" s="150"/>
      <c r="Y15" s="150"/>
      <c r="Z15" s="150"/>
      <c r="AA15" s="150"/>
      <c r="AB15" s="150"/>
      <c r="AC15" s="150"/>
      <c r="AD15" s="150"/>
      <c r="AE15" s="150"/>
      <c r="AF15" s="150"/>
      <c r="AG15" s="150"/>
      <c r="AH15" s="150"/>
      <c r="AI15" s="150"/>
      <c r="AJ15" s="150"/>
      <c r="AK15" s="150"/>
      <c r="AL15" s="150"/>
      <c r="AM15" s="150"/>
      <c r="AN15" s="150"/>
      <c r="AO15" s="150"/>
      <c r="AP15" s="150"/>
      <c r="AQ15" s="150"/>
      <c r="AR15" s="150"/>
      <c r="AS15" s="150"/>
      <c r="AT15" s="150"/>
      <c r="AU15" s="150"/>
      <c r="AV15" s="150"/>
      <c r="AW15" s="150"/>
      <c r="AX15" s="150"/>
      <c r="AY15" s="150"/>
      <c r="AZ15" s="150"/>
      <c r="BA15" s="150"/>
      <c r="BB15" s="151"/>
      <c r="BC15" s="147"/>
      <c r="BD15" s="416" t="s">
        <v>397</v>
      </c>
      <c r="BE15" s="416"/>
      <c r="BF15" s="416"/>
      <c r="BH15" s="416" t="s">
        <v>456</v>
      </c>
      <c r="BI15" s="416"/>
      <c r="BJ15" s="416"/>
      <c r="BL15" s="416" t="s">
        <v>510</v>
      </c>
      <c r="BM15" s="416"/>
      <c r="BN15" s="416"/>
      <c r="BR15" s="416" t="s">
        <v>18</v>
      </c>
      <c r="BS15" s="416"/>
      <c r="BT15" s="416"/>
      <c r="BU15" s="416"/>
      <c r="BV15" s="416"/>
      <c r="BW15" s="416"/>
      <c r="BX15" s="416"/>
      <c r="BY15" s="416"/>
      <c r="BZ15" s="416"/>
      <c r="CA15" s="416"/>
      <c r="CB15" s="416"/>
      <c r="CD15" s="416" t="s">
        <v>19</v>
      </c>
      <c r="CE15" s="416"/>
      <c r="CF15" s="416"/>
      <c r="CH15" s="416" t="str">
        <f>BL15</f>
        <v>Extinction risk</v>
      </c>
      <c r="CI15" s="416"/>
      <c r="CJ15" s="416"/>
      <c r="CN15" s="444" t="s">
        <v>1042</v>
      </c>
      <c r="CO15" s="444"/>
      <c r="CP15" s="444"/>
      <c r="CQ15" s="444"/>
      <c r="CR15" s="444"/>
      <c r="CS15" s="444"/>
      <c r="CT15" s="444"/>
      <c r="CU15" s="444"/>
      <c r="CV15" s="444"/>
      <c r="CW15" s="444"/>
      <c r="CX15" s="444"/>
    </row>
    <row r="16" spans="1:102" ht="18.75" customHeight="1" x14ac:dyDescent="0.4">
      <c r="A16" s="132"/>
      <c r="B16" s="132"/>
      <c r="C16" s="132"/>
      <c r="D16" s="146"/>
      <c r="E16" s="146"/>
      <c r="F16" s="146"/>
      <c r="G16" s="436" t="s">
        <v>411</v>
      </c>
      <c r="H16" s="436"/>
      <c r="I16" s="436"/>
      <c r="J16" s="436"/>
      <c r="K16" s="436"/>
      <c r="L16" s="436"/>
      <c r="M16" s="436"/>
      <c r="N16" s="436"/>
      <c r="O16" s="436"/>
      <c r="P16" s="436"/>
      <c r="Q16" s="436"/>
      <c r="R16" s="436"/>
      <c r="S16" s="436"/>
      <c r="T16" s="436"/>
      <c r="U16" s="436"/>
      <c r="V16" s="436"/>
      <c r="W16" s="152"/>
      <c r="X16" s="152"/>
      <c r="Y16" s="152"/>
      <c r="Z16" s="152"/>
      <c r="AA16" s="152"/>
      <c r="AB16" s="152"/>
      <c r="AC16" s="152"/>
      <c r="AD16" s="152"/>
      <c r="AE16" s="152"/>
      <c r="AF16" s="152"/>
      <c r="AG16" s="152"/>
      <c r="AH16" s="152"/>
      <c r="AI16" s="152"/>
      <c r="AJ16" s="152"/>
      <c r="AK16" s="152"/>
      <c r="AL16" s="152"/>
      <c r="AM16" s="152"/>
      <c r="AN16" s="152"/>
      <c r="AO16" s="152"/>
      <c r="AP16" s="152"/>
      <c r="AQ16" s="152"/>
      <c r="AR16" s="152"/>
      <c r="AS16" s="152"/>
      <c r="AT16" s="152"/>
      <c r="AU16" s="152"/>
      <c r="AV16" s="152"/>
      <c r="AW16" s="152"/>
      <c r="AX16" s="152"/>
      <c r="AY16" s="152"/>
      <c r="AZ16" s="152"/>
      <c r="BA16" s="152"/>
      <c r="BB16" s="153"/>
      <c r="BC16" s="153"/>
      <c r="BD16" s="436" t="s">
        <v>412</v>
      </c>
      <c r="BE16" s="436"/>
      <c r="BF16" s="436"/>
      <c r="BH16" s="412" t="s">
        <v>457</v>
      </c>
      <c r="BI16" s="412"/>
      <c r="BJ16" s="412"/>
      <c r="BR16" s="418" t="s">
        <v>21</v>
      </c>
      <c r="BS16" s="418"/>
      <c r="BT16" s="418"/>
      <c r="BU16" s="154"/>
      <c r="BV16" s="418" t="s">
        <v>22</v>
      </c>
      <c r="BW16" s="418"/>
      <c r="BX16" s="418"/>
      <c r="BZ16" s="418" t="s">
        <v>32</v>
      </c>
      <c r="CA16" s="418"/>
      <c r="CB16" s="418"/>
      <c r="CE16" s="138"/>
      <c r="CN16" s="443" t="s">
        <v>27</v>
      </c>
      <c r="CO16" s="443"/>
      <c r="CP16" s="443"/>
      <c r="CQ16" s="443"/>
      <c r="CR16" s="443"/>
      <c r="CT16" s="445" t="s">
        <v>28</v>
      </c>
      <c r="CU16" s="445"/>
      <c r="CV16" s="445"/>
      <c r="CW16" s="445"/>
      <c r="CX16" s="445"/>
    </row>
    <row r="17" spans="1:102" ht="16.5" customHeight="1" x14ac:dyDescent="0.35">
      <c r="A17" s="132"/>
      <c r="B17" s="132"/>
      <c r="C17" s="132"/>
      <c r="D17" s="155"/>
      <c r="E17" s="155"/>
      <c r="F17" s="155"/>
      <c r="G17" s="435" t="s">
        <v>248</v>
      </c>
      <c r="H17" s="435"/>
      <c r="I17" s="435"/>
      <c r="J17" s="156"/>
      <c r="K17" s="157" t="s">
        <v>458</v>
      </c>
      <c r="L17" s="156"/>
      <c r="M17" s="152" t="s">
        <v>23</v>
      </c>
      <c r="O17" s="417" t="s">
        <v>249</v>
      </c>
      <c r="P17" s="417"/>
      <c r="Q17" s="417"/>
      <c r="R17" s="158"/>
      <c r="S17" s="157" t="s">
        <v>458</v>
      </c>
      <c r="T17" s="158"/>
      <c r="U17" s="152" t="s">
        <v>23</v>
      </c>
      <c r="V17" s="158"/>
      <c r="W17" s="158"/>
      <c r="X17" s="417" t="s">
        <v>24</v>
      </c>
      <c r="Y17" s="417"/>
      <c r="Z17" s="417"/>
      <c r="AA17" s="417"/>
      <c r="AB17" s="417"/>
      <c r="AC17" s="417"/>
      <c r="AD17" s="417"/>
      <c r="AE17" s="417"/>
      <c r="AF17" s="417"/>
      <c r="AG17" s="417"/>
      <c r="AH17" s="417"/>
      <c r="AI17" s="417"/>
      <c r="AJ17" s="417"/>
      <c r="AK17" s="417"/>
      <c r="AL17" s="417"/>
      <c r="AM17" s="417" t="s">
        <v>25</v>
      </c>
      <c r="AN17" s="417"/>
      <c r="AO17" s="417"/>
      <c r="AP17" s="417"/>
      <c r="AQ17" s="417"/>
      <c r="AR17" s="417"/>
      <c r="AS17" s="417"/>
      <c r="AT17" s="417"/>
      <c r="AU17" s="417"/>
      <c r="AV17" s="417"/>
      <c r="AW17" s="417"/>
      <c r="AX17" s="417"/>
      <c r="AY17" s="417"/>
      <c r="AZ17" s="417"/>
      <c r="BA17" s="417"/>
      <c r="BC17" s="138"/>
      <c r="BD17" s="158" t="s">
        <v>26</v>
      </c>
      <c r="BE17" s="158"/>
      <c r="BF17" s="158" t="s">
        <v>12</v>
      </c>
      <c r="BG17" s="158"/>
      <c r="BH17" s="158" t="s">
        <v>26</v>
      </c>
      <c r="BI17" s="158"/>
      <c r="BJ17" s="158" t="s">
        <v>12</v>
      </c>
      <c r="BK17" s="158"/>
      <c r="BL17" s="158" t="s">
        <v>26</v>
      </c>
      <c r="BM17" s="158"/>
      <c r="BN17" s="158" t="s">
        <v>12</v>
      </c>
      <c r="BP17" s="138"/>
      <c r="BQ17" s="138"/>
      <c r="BR17" s="159" t="s">
        <v>27</v>
      </c>
      <c r="BT17" s="159" t="s">
        <v>28</v>
      </c>
      <c r="BV17" s="159" t="s">
        <v>27</v>
      </c>
      <c r="BX17" s="159" t="s">
        <v>28</v>
      </c>
      <c r="BZ17" s="159" t="s">
        <v>27</v>
      </c>
      <c r="CA17" s="138"/>
      <c r="CB17" s="159" t="s">
        <v>28</v>
      </c>
      <c r="CD17" s="159" t="s">
        <v>27</v>
      </c>
      <c r="CE17" s="138"/>
      <c r="CF17" s="159" t="s">
        <v>28</v>
      </c>
      <c r="CH17" s="159" t="s">
        <v>27</v>
      </c>
      <c r="CI17" s="138"/>
      <c r="CJ17" s="159" t="s">
        <v>28</v>
      </c>
      <c r="CN17" s="159" t="s">
        <v>668</v>
      </c>
      <c r="CO17" s="138"/>
      <c r="CP17" s="159" t="s">
        <v>315</v>
      </c>
      <c r="CQ17" s="138"/>
      <c r="CR17" s="159" t="s">
        <v>669</v>
      </c>
      <c r="CT17" s="159" t="s">
        <v>668</v>
      </c>
      <c r="CU17" s="138"/>
      <c r="CV17" s="159" t="s">
        <v>315</v>
      </c>
      <c r="CW17" s="138"/>
      <c r="CX17" s="159" t="s">
        <v>669</v>
      </c>
    </row>
    <row r="18" spans="1:102" s="188" customFormat="1" ht="16.5" customHeight="1" x14ac:dyDescent="0.3">
      <c r="A18" s="135"/>
      <c r="B18" s="419" t="s">
        <v>29</v>
      </c>
      <c r="C18" s="135"/>
      <c r="D18" s="160"/>
      <c r="E18" s="372" t="s">
        <v>208</v>
      </c>
      <c r="G18" s="421" t="s">
        <v>31</v>
      </c>
      <c r="H18" s="421"/>
      <c r="I18" s="421"/>
      <c r="J18" s="373" t="str">
        <f t="shared" ref="J18:J19" si="0">IF(OR(G18="Forest Zone (Default)",G18="Forest Zone (Reduced Impact Logging)",G18="Forest Zone (Selective Logging)",G18="Forest Zone (Clear-cut harvesting)",G18="Forest Plantation",G18="Grassland (Non-degraded)",G18="Grassland (Moderately degraded)",G18="Extensive Agroforestry",G18="Set-Aside Land",G18="Degraded Land",G18="Other (Nominal) - Bare area, Snow and ice"),"N",IF(OR(G18="Grassland (Severely degraded)",G18="Annual Cropland (w/ improvement)",G18="Annual Cropland (w/o improvement)",G18="Irrigated Annual Cropland",G18="Flooded Rice",G18="Intensive Agroforestry",G18="Other (Degraded) - Urban Area"),"A",""))</f>
        <v/>
      </c>
      <c r="K18" s="370" t="s">
        <v>9</v>
      </c>
      <c r="M18" s="374">
        <v>0</v>
      </c>
      <c r="N18" s="161"/>
      <c r="O18" s="421" t="s">
        <v>31</v>
      </c>
      <c r="P18" s="421"/>
      <c r="Q18" s="421"/>
      <c r="R18" s="373" t="str">
        <f>IF(OR(O18="Forest Zone (Default)",O18="Forest Zone (Reduced Impact Logging)",O18="Forest Zone (Selective Logging)",O18="Forest Zone (Clear-cut harvesting)",O18="Forest Plantation",O18="Grassland (Non-degraded)",O18="Grassland (Moderately degraded)",O18="Extensive Agroforestry",O18="Set-Aside Land",O18="Degraded Land",O18="Other (Nominal) - Bare area, Snow and ice"),"N",IF(OR(O18="Grassland (Severely degraded)",O18="Annual Cropland (w/ improvement)",O18="Annual Cropland (w/o improvement)",O18="Irrigated Annual Cropland",O18="Flooded Rice",O18="Intensive Agroforestry",O18="Other (Degraded) - Urban Area"),"A",""))</f>
        <v/>
      </c>
      <c r="S18" s="370" t="s">
        <v>9</v>
      </c>
      <c r="T18" s="373"/>
      <c r="U18" s="374">
        <v>0</v>
      </c>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1"/>
      <c r="AW18" s="161"/>
      <c r="AX18" s="161"/>
      <c r="AY18" s="161"/>
      <c r="AZ18" s="161"/>
      <c r="BA18" s="161"/>
      <c r="BB18" s="161"/>
      <c r="BC18" s="375"/>
      <c r="BD18" s="376">
        <v>0</v>
      </c>
      <c r="BE18" s="377"/>
      <c r="BF18" s="376">
        <v>0</v>
      </c>
      <c r="BH18" s="163" t="str">
        <f>IF(J18="","",IF(K18=1,Biodiversity!AG$11,IF('Biodiversity Assessment'!K18=2,Biodiversity!AG$12, IF('Biodiversity Assessment'!K18=3,Biodiversity!AG$13, IF('Biodiversity Assessment'!K18=4,Biodiversity!AG$14, IF('Biodiversity Assessment'!K18=5,Biodiversity!AG$15, IF('Biodiversity Assessment'!K18=6,Biodiversity!AG$16, IF('Biodiversity Assessment'!K18=7,Biodiversity!AG$17, IF('Biodiversity Assessment'!K18=8,Biodiversity!AG$18, IF('Biodiversity Assessment'!K18=9,Biodiversity!AG$19, IF('Biodiversity Assessment'!K18=10,Biodiversity!AG$20, IF('Biodiversity Assessment'!K18=11,Biodiversity!AG$21, IF('Biodiversity Assessment'!K18=12,Biodiversity!AG$22, IF('Biodiversity Assessment'!K18=13,Biodiversity!AG$23, IF('Biodiversity Assessment'!K18=14,Biodiversity!AG$24, IF('Biodiversity Assessment'!K18=15,Biodiversity!AG$25, IF('Biodiversity Assessment'!K18=16,Biodiversity!AG$26, IF('Biodiversity Assessment'!K18=17,Biodiversity!AG$27, IF('Biodiversity Assessment'!K18=18,Biodiversity!AG$28, IF('Biodiversity Assessment'!K18=19,Biodiversity!AG$29, IF('Biodiversity Assessment'!K18=20,Biodiversity!AG$30, IF('Biodiversity Assessment'!K18=21,Biodiversity!AG$31, IF('Biodiversity Assessment'!K18=22,Biodiversity!AG$32, IF('Biodiversity Assessment'!K18=23,Biodiversity!AG$33, IF('Biodiversity Assessment'!K18=24,Biodiversity!AG$34, IF('Biodiversity Assessment'!K18=25,Biodiversity!AG$35, IF('Biodiversity Assessment'!K18=26,Biodiversity!AG$36, IF('Biodiversity Assessment'!K18=27,Biodiversity!AG$37, IF('Biodiversity Assessment'!K18=28,Biodiversity!AG$38, IF('Biodiversity Assessment'!K18=29,Biodiversity!AG$39, IF('Biodiversity Assessment'!K18=30,Biodiversity!AG$40, IF('Biodiversity Assessment'!K18="?","Artificial"))))))))))))))))))))))))))))))))</f>
        <v/>
      </c>
      <c r="BJ18" s="163" t="str">
        <f>IF(R18="","",IF(S18=1,Biodiversity!AJ$11,IF('Biodiversity Assessment'!S18=2,Biodiversity!AJ$12, IF('Biodiversity Assessment'!S18=3,Biodiversity!AJ$13, IF('Biodiversity Assessment'!S18=4,Biodiversity!AJ$14, IF('Biodiversity Assessment'!S18=5,Biodiversity!AJ$15, IF('Biodiversity Assessment'!S18=6,Biodiversity!AJ$16, IF('Biodiversity Assessment'!S18=7,Biodiversity!AJ$17, IF('Biodiversity Assessment'!S18=8,Biodiversity!AJ$18, IF('Biodiversity Assessment'!S18=9,Biodiversity!AJ$19, IF('Biodiversity Assessment'!S18=10,Biodiversity!AJ$20, IF('Biodiversity Assessment'!S18=11,Biodiversity!AJ$21, IF('Biodiversity Assessment'!S18=12,Biodiversity!AJ$22, IF('Biodiversity Assessment'!S18=13,Biodiversity!AJ$23, IF('Biodiversity Assessment'!S18=14,Biodiversity!AJ$24, IF('Biodiversity Assessment'!S18=15,Biodiversity!AJ$25, IF('Biodiversity Assessment'!S18=16,Biodiversity!AJ$26, IF('Biodiversity Assessment'!S18=17,Biodiversity!AJ$27, IF('Biodiversity Assessment'!S18=18,Biodiversity!AJ$28, IF('Biodiversity Assessment'!S18=19,Biodiversity!AJ$29, IF('Biodiversity Assessment'!S18=20,Biodiversity!AJ$30, IF('Biodiversity Assessment'!S18=21,Biodiversity!AJ$31, IF('Biodiversity Assessment'!S18=22,Biodiversity!AJ$32, IF('Biodiversity Assessment'!S18=23,Biodiversity!AJ$33, IF('Biodiversity Assessment'!S18=24,Biodiversity!AJ$34, IF('Biodiversity Assessment'!S18=25,Biodiversity!AJ$35, IF('Biodiversity Assessment'!S18=26,Biodiversity!AJ$36, IF('Biodiversity Assessment'!S18=27,Biodiversity!AJ$37, IF('Biodiversity Assessment'!S18=28,Biodiversity!AJ$38, IF('Biodiversity Assessment'!S18=29,Biodiversity!AJ$39, IF('Biodiversity Assessment'!S18=30,Biodiversity!AJ$40, IF('Biodiversity Assessment'!S18="?","Artificial"))))))))))))))))))))))))))))))))</f>
        <v/>
      </c>
      <c r="BL18" s="164">
        <v>0</v>
      </c>
      <c r="BN18" s="164">
        <v>0</v>
      </c>
      <c r="BP18" s="375"/>
      <c r="BQ18" s="375"/>
      <c r="BR18" s="378" t="str">
        <f>Biodiversity!K11</f>
        <v>?</v>
      </c>
      <c r="BT18" s="378" t="str">
        <f>Biodiversity!L11</f>
        <v>?</v>
      </c>
      <c r="BV18" s="378" t="str">
        <f>Biodiversity!M11</f>
        <v>?</v>
      </c>
      <c r="BX18" s="378" t="str">
        <f>Biodiversity!N11</f>
        <v>?</v>
      </c>
      <c r="BZ18" s="378" t="str">
        <f>Biodiversity!O11</f>
        <v>?</v>
      </c>
      <c r="CA18" s="375"/>
      <c r="CB18" s="378" t="str">
        <f>Biodiversity!P11</f>
        <v>?</v>
      </c>
      <c r="CD18" s="378" t="str">
        <f>Biodiversity!R11</f>
        <v>?</v>
      </c>
      <c r="CE18" s="375"/>
      <c r="CF18" s="378" t="str">
        <f>Biodiversity!S11</f>
        <v>?</v>
      </c>
      <c r="CH18" s="378">
        <f>IF($BL$15=Data!$D$42,'Biodiversity Assessment'!BL18/100,IF($BL$15=Data!$D$43,'Biodiversity Assessment'!BL18/60,IF($BL$15=Data!$D$44,'Biodiversity Assessment'!BL18/50,"?")))</f>
        <v>0</v>
      </c>
      <c r="CI18" s="375"/>
      <c r="CJ18" s="378">
        <f>IF($BL$15=Data!$D$42,'Biodiversity Assessment'!BN18/100,IF($BL$15=Data!$D$43,'Biodiversity Assessment'!BN18/60,IF($BL$15=Data!$D$44,'Biodiversity Assessment'!BN18/50,"?")))</f>
        <v>0</v>
      </c>
      <c r="CN18" s="165">
        <f>'ESVD - Social Value of Bio'!G3</f>
        <v>0</v>
      </c>
      <c r="CO18" s="379"/>
      <c r="CP18" s="165" t="str">
        <f>IF('ESVD - Social Value of Bio'!H3=0," ",'ESVD - Social Value of Bio'!H3)</f>
        <v xml:space="preserve"> </v>
      </c>
      <c r="CQ18" s="379"/>
      <c r="CR18" s="376"/>
      <c r="CT18" s="165">
        <f>'ESVD - Social Value of Bio'!U3</f>
        <v>0</v>
      </c>
      <c r="CU18" s="379"/>
      <c r="CV18" s="165" t="str">
        <f>IF('ESVD - Social Value of Bio'!V3=0," ",'ESVD - Social Value of Bio'!V3)</f>
        <v xml:space="preserve"> </v>
      </c>
      <c r="CW18" s="375"/>
      <c r="CX18" s="374"/>
    </row>
    <row r="19" spans="1:102" s="188" customFormat="1" ht="16.5" customHeight="1" x14ac:dyDescent="0.3">
      <c r="A19" s="135"/>
      <c r="B19" s="419"/>
      <c r="C19" s="135"/>
      <c r="D19" s="160"/>
      <c r="E19" s="372" t="s">
        <v>209</v>
      </c>
      <c r="G19" s="421" t="s">
        <v>31</v>
      </c>
      <c r="H19" s="421"/>
      <c r="I19" s="421"/>
      <c r="J19" s="373" t="str">
        <f t="shared" si="0"/>
        <v/>
      </c>
      <c r="K19" s="370" t="s">
        <v>9</v>
      </c>
      <c r="M19" s="374">
        <v>0</v>
      </c>
      <c r="N19" s="161"/>
      <c r="O19" s="421" t="s">
        <v>31</v>
      </c>
      <c r="P19" s="421"/>
      <c r="Q19" s="421"/>
      <c r="R19" s="373" t="str">
        <f t="shared" ref="R19:R47" si="1">IF(OR(O19="Forest Zone (Default)",O19="Forest Zone (Reduced Impact Logging)",O19="Forest Zone (Selective Logging)",O19="Forest Zone (Clear-cut harvesting)",O19="Forest Plantation",O19="Grassland (Non-degraded)",O19="Grassland (Moderately degraded)",O19="Extensive Agroforestry",O19="Set-Aside Land",O19="Degraded Land",O19="Other (Nominal) - Bare area, Snow and ice"),"N",IF(OR(O19="Grassland (Severely degraded)",O19="Annual Cropland (w/ improvement)",O19="Annual Cropland (w/o improvement)",O19="Irrigated Annual Cropland",O19="Flooded Rice",O19="Intensive Agroforestry",O19="Other (Degraded) - Urban Area"),"A",""))</f>
        <v/>
      </c>
      <c r="S19" s="370" t="s">
        <v>9</v>
      </c>
      <c r="T19" s="373"/>
      <c r="U19" s="374">
        <v>0</v>
      </c>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161"/>
      <c r="AV19" s="161"/>
      <c r="AW19" s="161"/>
      <c r="AX19" s="161"/>
      <c r="AY19" s="161"/>
      <c r="AZ19" s="161"/>
      <c r="BA19" s="161"/>
      <c r="BB19" s="161"/>
      <c r="BC19" s="375"/>
      <c r="BD19" s="376">
        <v>0</v>
      </c>
      <c r="BE19" s="377"/>
      <c r="BF19" s="376">
        <v>0</v>
      </c>
      <c r="BH19" s="163" t="str">
        <f>IF(J19="","",IF(K19=1,Biodiversity!AG$11,IF('Biodiversity Assessment'!K19=2,Biodiversity!AG$12, IF('Biodiversity Assessment'!K19=3,Biodiversity!AG$13, IF('Biodiversity Assessment'!K19=4,Biodiversity!AG$14, IF('Biodiversity Assessment'!K19=5,Biodiversity!AG$15, IF('Biodiversity Assessment'!K19=6,Biodiversity!AG$16, IF('Biodiversity Assessment'!K19=7,Biodiversity!AG$17, IF('Biodiversity Assessment'!K19=8,Biodiversity!AG$18, IF('Biodiversity Assessment'!K19=9,Biodiversity!AG$19, IF('Biodiversity Assessment'!K19=10,Biodiversity!AG$20, IF('Biodiversity Assessment'!K19=11,Biodiversity!AG$21, IF('Biodiversity Assessment'!K19=12,Biodiversity!AG$22, IF('Biodiversity Assessment'!K19=13,Biodiversity!AG$23, IF('Biodiversity Assessment'!K19=14,Biodiversity!AG$24, IF('Biodiversity Assessment'!K19=15,Biodiversity!AG$25, IF('Biodiversity Assessment'!K19=16,Biodiversity!AG$26, IF('Biodiversity Assessment'!K19=17,Biodiversity!AG$27, IF('Biodiversity Assessment'!K19=18,Biodiversity!AG$28, IF('Biodiversity Assessment'!K19=19,Biodiversity!AG$29, IF('Biodiversity Assessment'!K19=20,Biodiversity!AG$30, IF('Biodiversity Assessment'!K19=21,Biodiversity!AG$31, IF('Biodiversity Assessment'!K19=22,Biodiversity!AG$32, IF('Biodiversity Assessment'!K19=23,Biodiversity!AG$33, IF('Biodiversity Assessment'!K19=24,Biodiversity!AG$34, IF('Biodiversity Assessment'!K19=25,Biodiversity!AG$35, IF('Biodiversity Assessment'!K19=26,Biodiversity!AG$36, IF('Biodiversity Assessment'!K19=27,Biodiversity!AG$37, IF('Biodiversity Assessment'!K19=28,Biodiversity!AG$38, IF('Biodiversity Assessment'!K19=29,Biodiversity!AG$39, IF('Biodiversity Assessment'!K19=30,Biodiversity!AG$40, IF('Biodiversity Assessment'!K19="?","Artificial"))))))))))))))))))))))))))))))))</f>
        <v/>
      </c>
      <c r="BJ19" s="163" t="str">
        <f>IF(R19="","",IF(S19=1,Biodiversity!AJ$11,IF('Biodiversity Assessment'!S19=2,Biodiversity!AJ$12, IF('Biodiversity Assessment'!S19=3,Biodiversity!AJ$13, IF('Biodiversity Assessment'!S19=4,Biodiversity!AJ$14, IF('Biodiversity Assessment'!S19=5,Biodiversity!AJ$15, IF('Biodiversity Assessment'!S19=6,Biodiversity!AJ$16, IF('Biodiversity Assessment'!S19=7,Biodiversity!AJ$17, IF('Biodiversity Assessment'!S19=8,Biodiversity!AJ$18, IF('Biodiversity Assessment'!S19=9,Biodiversity!AJ$19, IF('Biodiversity Assessment'!S19=10,Biodiversity!AJ$20, IF('Biodiversity Assessment'!S19=11,Biodiversity!AJ$21, IF('Biodiversity Assessment'!S19=12,Biodiversity!AJ$22, IF('Biodiversity Assessment'!S19=13,Biodiversity!AJ$23, IF('Biodiversity Assessment'!S19=14,Biodiversity!AJ$24, IF('Biodiversity Assessment'!S19=15,Biodiversity!AJ$25, IF('Biodiversity Assessment'!S19=16,Biodiversity!AJ$26, IF('Biodiversity Assessment'!S19=17,Biodiversity!AJ$27, IF('Biodiversity Assessment'!S19=18,Biodiversity!AJ$28, IF('Biodiversity Assessment'!S19=19,Biodiversity!AJ$29, IF('Biodiversity Assessment'!S19=20,Biodiversity!AJ$30, IF('Biodiversity Assessment'!S19=21,Biodiversity!AJ$31, IF('Biodiversity Assessment'!S19=22,Biodiversity!AJ$32, IF('Biodiversity Assessment'!S19=23,Biodiversity!AJ$33, IF('Biodiversity Assessment'!S19=24,Biodiversity!AJ$34, IF('Biodiversity Assessment'!S19=25,Biodiversity!AJ$35, IF('Biodiversity Assessment'!S19=26,Biodiversity!AJ$36, IF('Biodiversity Assessment'!S19=27,Biodiversity!AJ$37, IF('Biodiversity Assessment'!S19=28,Biodiversity!AJ$38, IF('Biodiversity Assessment'!S19=29,Biodiversity!AJ$39, IF('Biodiversity Assessment'!S19=30,Biodiversity!AJ$40, IF('Biodiversity Assessment'!S19="?","Artificial"))))))))))))))))))))))))))))))))</f>
        <v/>
      </c>
      <c r="BL19" s="164">
        <v>0</v>
      </c>
      <c r="BN19" s="164">
        <v>0</v>
      </c>
      <c r="BP19" s="375"/>
      <c r="BQ19" s="375"/>
      <c r="BR19" s="378" t="str">
        <f>Biodiversity!K12</f>
        <v>?</v>
      </c>
      <c r="BT19" s="378" t="str">
        <f>Biodiversity!L12</f>
        <v>?</v>
      </c>
      <c r="BV19" s="378" t="str">
        <f>Biodiversity!M12</f>
        <v>?</v>
      </c>
      <c r="BX19" s="378" t="str">
        <f>Biodiversity!N12</f>
        <v>?</v>
      </c>
      <c r="BZ19" s="378" t="str">
        <f>Biodiversity!O12</f>
        <v>?</v>
      </c>
      <c r="CB19" s="378" t="str">
        <f>Biodiversity!P12</f>
        <v>?</v>
      </c>
      <c r="CD19" s="378" t="str">
        <f>Biodiversity!R12</f>
        <v>?</v>
      </c>
      <c r="CF19" s="378" t="str">
        <f>Biodiversity!S12</f>
        <v>?</v>
      </c>
      <c r="CH19" s="378">
        <f>IF($BL$15=Data!$D$42,'Biodiversity Assessment'!BL19/100,IF($BL$15=Data!$D$43,'Biodiversity Assessment'!BL19/60,IF($BL$15=Data!$D$44,'Biodiversity Assessment'!BL19/50,"?")))</f>
        <v>0</v>
      </c>
      <c r="CJ19" s="378">
        <f>IF($BL$15=Data!$D$42,'Biodiversity Assessment'!BN19/100,IF($BL$15=Data!$D$43,'Biodiversity Assessment'!BN19/60,IF($BL$15=Data!$D$44,'Biodiversity Assessment'!BN19/50,"?")))</f>
        <v>0</v>
      </c>
      <c r="CN19" s="165">
        <f>'ESVD - Social Value of Bio'!G4</f>
        <v>0</v>
      </c>
      <c r="CO19" s="380"/>
      <c r="CP19" s="165" t="str">
        <f>IF('ESVD - Social Value of Bio'!H4=0," ",'ESVD - Social Value of Bio'!H4)</f>
        <v xml:space="preserve"> </v>
      </c>
      <c r="CQ19" s="380"/>
      <c r="CR19" s="376"/>
      <c r="CT19" s="165">
        <f>'ESVD - Social Value of Bio'!U4</f>
        <v>0</v>
      </c>
      <c r="CU19" s="380"/>
      <c r="CV19" s="165" t="str">
        <f>IF('ESVD - Social Value of Bio'!V4=0," ",'ESVD - Social Value of Bio'!V4)</f>
        <v xml:space="preserve"> </v>
      </c>
      <c r="CX19" s="374"/>
    </row>
    <row r="20" spans="1:102" s="188" customFormat="1" ht="16.5" customHeight="1" x14ac:dyDescent="0.3">
      <c r="A20" s="135"/>
      <c r="B20" s="419"/>
      <c r="C20" s="135"/>
      <c r="D20" s="160"/>
      <c r="E20" s="372" t="s">
        <v>210</v>
      </c>
      <c r="G20" s="421" t="s">
        <v>31</v>
      </c>
      <c r="H20" s="421"/>
      <c r="I20" s="421"/>
      <c r="J20" s="373" t="str">
        <f>IF(OR(G20="Forest Zone (Default)",G20="Forest Zone (Reduced Impact Logging)",G20="Forest Zone (Selective Logging)",G20="Forest Zone (Clear-cut harvesting)",G20="Forest Plantation",G20="Grassland (Non-degraded)",G20="Grassland (Moderately degraded)",G20="Extensive Agroforestry",G20="Set-Aside Land",G20="Degraded Land",G20="Other (Nominal) - Bare area, Snow and ice"),"N",IF(OR(G20="Grassland (Severely degraded)",G20="Annual Cropland (w/ improvement)",G20="Annual Cropland (w/o improvement)",G20="Irrigated Annual Cropland",G20="Flooded Rice",G20="Intensive Agroforestry",G20="Other (Degraded) - Urban Area"),"A",""))</f>
        <v/>
      </c>
      <c r="K20" s="370" t="s">
        <v>9</v>
      </c>
      <c r="M20" s="374">
        <v>0</v>
      </c>
      <c r="N20" s="161"/>
      <c r="O20" s="421" t="s">
        <v>31</v>
      </c>
      <c r="P20" s="421"/>
      <c r="Q20" s="421"/>
      <c r="R20" s="373" t="str">
        <f t="shared" si="1"/>
        <v/>
      </c>
      <c r="S20" s="370" t="s">
        <v>9</v>
      </c>
      <c r="T20" s="373"/>
      <c r="U20" s="374">
        <v>0</v>
      </c>
      <c r="V20" s="161"/>
      <c r="W20" s="161"/>
      <c r="X20" s="161"/>
      <c r="Y20" s="161"/>
      <c r="Z20" s="161"/>
      <c r="AA20" s="161"/>
      <c r="AB20" s="161"/>
      <c r="AC20" s="161"/>
      <c r="AD20" s="161"/>
      <c r="AE20" s="161"/>
      <c r="AF20" s="161"/>
      <c r="AG20" s="161"/>
      <c r="AH20" s="161"/>
      <c r="AI20" s="161"/>
      <c r="AJ20" s="161"/>
      <c r="AK20" s="161"/>
      <c r="AL20" s="161"/>
      <c r="AM20" s="161"/>
      <c r="AN20" s="161"/>
      <c r="AO20" s="161"/>
      <c r="AP20" s="161"/>
      <c r="AQ20" s="161"/>
      <c r="AR20" s="161"/>
      <c r="AS20" s="161"/>
      <c r="AT20" s="161"/>
      <c r="AU20" s="161"/>
      <c r="AV20" s="161"/>
      <c r="AW20" s="161"/>
      <c r="AX20" s="161"/>
      <c r="AY20" s="161"/>
      <c r="AZ20" s="161"/>
      <c r="BA20" s="161"/>
      <c r="BB20" s="161"/>
      <c r="BC20" s="375"/>
      <c r="BD20" s="376">
        <v>0</v>
      </c>
      <c r="BE20" s="377"/>
      <c r="BF20" s="376">
        <v>0</v>
      </c>
      <c r="BH20" s="163" t="str">
        <f>IF(J20="","",IF(K20=1,Biodiversity!AG$11,IF('Biodiversity Assessment'!K20=2,Biodiversity!AG$12, IF('Biodiversity Assessment'!K20=3,Biodiversity!AG$13, IF('Biodiversity Assessment'!K20=4,Biodiversity!AG$14, IF('Biodiversity Assessment'!K20=5,Biodiversity!AG$15, IF('Biodiversity Assessment'!K20=6,Biodiversity!AG$16, IF('Biodiversity Assessment'!K20=7,Biodiversity!AG$17, IF('Biodiversity Assessment'!K20=8,Biodiversity!AG$18, IF('Biodiversity Assessment'!K20=9,Biodiversity!AG$19, IF('Biodiversity Assessment'!K20=10,Biodiversity!AG$20, IF('Biodiversity Assessment'!K20=11,Biodiversity!AG$21, IF('Biodiversity Assessment'!K20=12,Biodiversity!AG$22, IF('Biodiversity Assessment'!K20=13,Biodiversity!AG$23, IF('Biodiversity Assessment'!K20=14,Biodiversity!AG$24, IF('Biodiversity Assessment'!K20=15,Biodiversity!AG$25, IF('Biodiversity Assessment'!K20=16,Biodiversity!AG$26, IF('Biodiversity Assessment'!K20=17,Biodiversity!AG$27, IF('Biodiversity Assessment'!K20=18,Biodiversity!AG$28, IF('Biodiversity Assessment'!K20=19,Biodiversity!AG$29, IF('Biodiversity Assessment'!K20=20,Biodiversity!AG$30, IF('Biodiversity Assessment'!K20=21,Biodiversity!AG$31, IF('Biodiversity Assessment'!K20=22,Biodiversity!AG$32, IF('Biodiversity Assessment'!K20=23,Biodiversity!AG$33, IF('Biodiversity Assessment'!K20=24,Biodiversity!AG$34, IF('Biodiversity Assessment'!K20=25,Biodiversity!AG$35, IF('Biodiversity Assessment'!K20=26,Biodiversity!AG$36, IF('Biodiversity Assessment'!K20=27,Biodiversity!AG$37, IF('Biodiversity Assessment'!K20=28,Biodiversity!AG$38, IF('Biodiversity Assessment'!K20=29,Biodiversity!AG$39, IF('Biodiversity Assessment'!K20=30,Biodiversity!AG$40, IF('Biodiversity Assessment'!K20="?","Artificial"))))))))))))))))))))))))))))))))</f>
        <v/>
      </c>
      <c r="BJ20" s="163" t="str">
        <f>IF(R20="","",IF(S20=1,Biodiversity!AJ$11,IF('Biodiversity Assessment'!S20=2,Biodiversity!AJ$12, IF('Biodiversity Assessment'!S20=3,Biodiversity!AJ$13, IF('Biodiversity Assessment'!S20=4,Biodiversity!AJ$14, IF('Biodiversity Assessment'!S20=5,Biodiversity!AJ$15, IF('Biodiversity Assessment'!S20=6,Biodiversity!AJ$16, IF('Biodiversity Assessment'!S20=7,Biodiversity!AJ$17, IF('Biodiversity Assessment'!S20=8,Biodiversity!AJ$18, IF('Biodiversity Assessment'!S20=9,Biodiversity!AJ$19, IF('Biodiversity Assessment'!S20=10,Biodiversity!AJ$20, IF('Biodiversity Assessment'!S20=11,Biodiversity!AJ$21, IF('Biodiversity Assessment'!S20=12,Biodiversity!AJ$22, IF('Biodiversity Assessment'!S20=13,Biodiversity!AJ$23, IF('Biodiversity Assessment'!S20=14,Biodiversity!AJ$24, IF('Biodiversity Assessment'!S20=15,Biodiversity!AJ$25, IF('Biodiversity Assessment'!S20=16,Biodiversity!AJ$26, IF('Biodiversity Assessment'!S20=17,Biodiversity!AJ$27, IF('Biodiversity Assessment'!S20=18,Biodiversity!AJ$28, IF('Biodiversity Assessment'!S20=19,Biodiversity!AJ$29, IF('Biodiversity Assessment'!S20=20,Biodiversity!AJ$30, IF('Biodiversity Assessment'!S20=21,Biodiversity!AJ$31, IF('Biodiversity Assessment'!S20=22,Biodiversity!AJ$32, IF('Biodiversity Assessment'!S20=23,Biodiversity!AJ$33, IF('Biodiversity Assessment'!S20=24,Biodiversity!AJ$34, IF('Biodiversity Assessment'!S20=25,Biodiversity!AJ$35, IF('Biodiversity Assessment'!S20=26,Biodiversity!AJ$36, IF('Biodiversity Assessment'!S20=27,Biodiversity!AJ$37, IF('Biodiversity Assessment'!S20=28,Biodiversity!AJ$38, IF('Biodiversity Assessment'!S20=29,Biodiversity!AJ$39, IF('Biodiversity Assessment'!S20=30,Biodiversity!AJ$40, IF('Biodiversity Assessment'!S20="?","Artificial"))))))))))))))))))))))))))))))))</f>
        <v/>
      </c>
      <c r="BL20" s="164">
        <v>0</v>
      </c>
      <c r="BN20" s="164">
        <v>0</v>
      </c>
      <c r="BP20" s="375"/>
      <c r="BQ20" s="375"/>
      <c r="BR20" s="378" t="str">
        <f>Biodiversity!K13</f>
        <v>?</v>
      </c>
      <c r="BT20" s="378" t="str">
        <f>Biodiversity!L13</f>
        <v>?</v>
      </c>
      <c r="BV20" s="378" t="str">
        <f>Biodiversity!M13</f>
        <v>?</v>
      </c>
      <c r="BX20" s="378" t="str">
        <f>Biodiversity!N13</f>
        <v>?</v>
      </c>
      <c r="BZ20" s="378" t="str">
        <f>Biodiversity!O13</f>
        <v>?</v>
      </c>
      <c r="CB20" s="378" t="str">
        <f>Biodiversity!P13</f>
        <v>?</v>
      </c>
      <c r="CD20" s="378" t="str">
        <f>Biodiversity!R13</f>
        <v>?</v>
      </c>
      <c r="CF20" s="378" t="str">
        <f>Biodiversity!S13</f>
        <v>?</v>
      </c>
      <c r="CH20" s="378">
        <f>IF($BL$15=Data!$D$42,'Biodiversity Assessment'!BL20/100,IF($BL$15=Data!$D$43,'Biodiversity Assessment'!BL20/60,IF($BL$15=Data!$D$44,'Biodiversity Assessment'!BL20/50,"?")))</f>
        <v>0</v>
      </c>
      <c r="CJ20" s="378">
        <f>IF($BL$15=Data!$D$42,'Biodiversity Assessment'!BN20/100,IF($BL$15=Data!$D$43,'Biodiversity Assessment'!BN20/60,IF($BL$15=Data!$D$44,'Biodiversity Assessment'!BN20/50,"?")))</f>
        <v>0</v>
      </c>
      <c r="CN20" s="165">
        <f>'ESVD - Social Value of Bio'!G5</f>
        <v>0</v>
      </c>
      <c r="CO20" s="380"/>
      <c r="CP20" s="165" t="str">
        <f>IF('ESVD - Social Value of Bio'!H5=0," ",'ESVD - Social Value of Bio'!H5)</f>
        <v xml:space="preserve"> </v>
      </c>
      <c r="CQ20" s="380"/>
      <c r="CR20" s="376"/>
      <c r="CT20" s="165">
        <f>'ESVD - Social Value of Bio'!U5</f>
        <v>0</v>
      </c>
      <c r="CU20" s="380"/>
      <c r="CV20" s="165" t="str">
        <f>IF('ESVD - Social Value of Bio'!V5=0," ",'ESVD - Social Value of Bio'!V5)</f>
        <v xml:space="preserve"> </v>
      </c>
      <c r="CX20" s="374"/>
    </row>
    <row r="21" spans="1:102" s="188" customFormat="1" ht="16.5" customHeight="1" x14ac:dyDescent="0.3">
      <c r="A21" s="135"/>
      <c r="B21" s="419"/>
      <c r="C21" s="135"/>
      <c r="D21" s="135"/>
      <c r="E21" s="372" t="s">
        <v>211</v>
      </c>
      <c r="G21" s="421" t="s">
        <v>31</v>
      </c>
      <c r="H21" s="421"/>
      <c r="I21" s="421"/>
      <c r="J21" s="373" t="str">
        <f t="shared" ref="J21:J47" si="2">IF(OR(G21="Forest Zone (Default)",G21="Forest Zone (Reduced Impact Logging)",G21="Forest Zone (Selective Logging)",G21="Forest Zone (Clear-cut harvesting)",G21="Forest Plantation",G21="Grassland (Non-degraded)",G21="Grassland (Moderately degraded)",G21="Extensive Agroforestry",G21="Set-Aside Land",G21="Degraded Land",G21="Other (Nominal) - Bare area, Snow and ice"),"N",IF(OR(G21="Grassland (Severely degraded)",G21="Annual Cropland (w/ improvement)",G21="Annual Cropland (w/o improvement)",G21="Irrigated Annual Cropland",G21="Flooded Rice",G21="Intensive Agroforestry",G21="Other (Degraded) - Urban Area"),"A",""))</f>
        <v/>
      </c>
      <c r="K21" s="370" t="s">
        <v>9</v>
      </c>
      <c r="M21" s="374">
        <v>0</v>
      </c>
      <c r="O21" s="421" t="s">
        <v>31</v>
      </c>
      <c r="P21" s="421"/>
      <c r="Q21" s="421"/>
      <c r="R21" s="373" t="str">
        <f t="shared" si="1"/>
        <v/>
      </c>
      <c r="S21" s="370" t="s">
        <v>9</v>
      </c>
      <c r="T21" s="373"/>
      <c r="U21" s="374">
        <v>0</v>
      </c>
      <c r="BD21" s="376">
        <v>0</v>
      </c>
      <c r="BE21" s="377"/>
      <c r="BF21" s="376">
        <v>0</v>
      </c>
      <c r="BH21" s="163" t="str">
        <f>IF(J21="","",IF(K21=1,Biodiversity!AG$11,IF('Biodiversity Assessment'!K21=2,Biodiversity!AG$12, IF('Biodiversity Assessment'!K21=3,Biodiversity!AG$13, IF('Biodiversity Assessment'!K21=4,Biodiversity!AG$14, IF('Biodiversity Assessment'!K21=5,Biodiversity!AG$15, IF('Biodiversity Assessment'!K21=6,Biodiversity!AG$16, IF('Biodiversity Assessment'!K21=7,Biodiversity!AG$17, IF('Biodiversity Assessment'!K21=8,Biodiversity!AG$18, IF('Biodiversity Assessment'!K21=9,Biodiversity!AG$19, IF('Biodiversity Assessment'!K21=10,Biodiversity!AG$20, IF('Biodiversity Assessment'!K21=11,Biodiversity!AG$21, IF('Biodiversity Assessment'!K21=12,Biodiversity!AG$22, IF('Biodiversity Assessment'!K21=13,Biodiversity!AG$23, IF('Biodiversity Assessment'!K21=14,Biodiversity!AG$24, IF('Biodiversity Assessment'!K21=15,Biodiversity!AG$25, IF('Biodiversity Assessment'!K21=16,Biodiversity!AG$26, IF('Biodiversity Assessment'!K21=17,Biodiversity!AG$27, IF('Biodiversity Assessment'!K21=18,Biodiversity!AG$28, IF('Biodiversity Assessment'!K21=19,Biodiversity!AG$29, IF('Biodiversity Assessment'!K21=20,Biodiversity!AG$30, IF('Biodiversity Assessment'!K21=21,Biodiversity!AG$31, IF('Biodiversity Assessment'!K21=22,Biodiversity!AG$32, IF('Biodiversity Assessment'!K21=23,Biodiversity!AG$33, IF('Biodiversity Assessment'!K21=24,Biodiversity!AG$34, IF('Biodiversity Assessment'!K21=25,Biodiversity!AG$35, IF('Biodiversity Assessment'!K21=26,Biodiversity!AG$36, IF('Biodiversity Assessment'!K21=27,Biodiversity!AG$37, IF('Biodiversity Assessment'!K21=28,Biodiversity!AG$38, IF('Biodiversity Assessment'!K21=29,Biodiversity!AG$39, IF('Biodiversity Assessment'!K21=30,Biodiversity!AG$40, IF('Biodiversity Assessment'!K21="?","Artificial"))))))))))))))))))))))))))))))))</f>
        <v/>
      </c>
      <c r="BJ21" s="163" t="str">
        <f>IF(R21="","",IF(S21=1,Biodiversity!AJ$11,IF('Biodiversity Assessment'!S21=2,Biodiversity!AJ$12, IF('Biodiversity Assessment'!S21=3,Biodiversity!AJ$13, IF('Biodiversity Assessment'!S21=4,Biodiversity!AJ$14, IF('Biodiversity Assessment'!S21=5,Biodiversity!AJ$15, IF('Biodiversity Assessment'!S21=6,Biodiversity!AJ$16, IF('Biodiversity Assessment'!S21=7,Biodiversity!AJ$17, IF('Biodiversity Assessment'!S21=8,Biodiversity!AJ$18, IF('Biodiversity Assessment'!S21=9,Biodiversity!AJ$19, IF('Biodiversity Assessment'!S21=10,Biodiversity!AJ$20, IF('Biodiversity Assessment'!S21=11,Biodiversity!AJ$21, IF('Biodiversity Assessment'!S21=12,Biodiversity!AJ$22, IF('Biodiversity Assessment'!S21=13,Biodiversity!AJ$23, IF('Biodiversity Assessment'!S21=14,Biodiversity!AJ$24, IF('Biodiversity Assessment'!S21=15,Biodiversity!AJ$25, IF('Biodiversity Assessment'!S21=16,Biodiversity!AJ$26, IF('Biodiversity Assessment'!S21=17,Biodiversity!AJ$27, IF('Biodiversity Assessment'!S21=18,Biodiversity!AJ$28, IF('Biodiversity Assessment'!S21=19,Biodiversity!AJ$29, IF('Biodiversity Assessment'!S21=20,Biodiversity!AJ$30, IF('Biodiversity Assessment'!S21=21,Biodiversity!AJ$31, IF('Biodiversity Assessment'!S21=22,Biodiversity!AJ$32, IF('Biodiversity Assessment'!S21=23,Biodiversity!AJ$33, IF('Biodiversity Assessment'!S21=24,Biodiversity!AJ$34, IF('Biodiversity Assessment'!S21=25,Biodiversity!AJ$35, IF('Biodiversity Assessment'!S21=26,Biodiversity!AJ$36, IF('Biodiversity Assessment'!S21=27,Biodiversity!AJ$37, IF('Biodiversity Assessment'!S21=28,Biodiversity!AJ$38, IF('Biodiversity Assessment'!S21=29,Biodiversity!AJ$39, IF('Biodiversity Assessment'!S21=30,Biodiversity!AJ$40, IF('Biodiversity Assessment'!S21="?","Artificial"))))))))))))))))))))))))))))))))</f>
        <v/>
      </c>
      <c r="BL21" s="164">
        <v>0</v>
      </c>
      <c r="BN21" s="164">
        <v>0</v>
      </c>
      <c r="BP21" s="375"/>
      <c r="BQ21" s="375"/>
      <c r="BR21" s="378" t="str">
        <f>Biodiversity!K14</f>
        <v>?</v>
      </c>
      <c r="BT21" s="378" t="str">
        <f>Biodiversity!L14</f>
        <v>?</v>
      </c>
      <c r="BV21" s="378" t="str">
        <f>Biodiversity!M14</f>
        <v>?</v>
      </c>
      <c r="BX21" s="378" t="str">
        <f>Biodiversity!N14</f>
        <v>?</v>
      </c>
      <c r="BZ21" s="378" t="str">
        <f>Biodiversity!O14</f>
        <v>?</v>
      </c>
      <c r="CB21" s="378" t="str">
        <f>Biodiversity!P14</f>
        <v>?</v>
      </c>
      <c r="CD21" s="378" t="str">
        <f>Biodiversity!R14</f>
        <v>?</v>
      </c>
      <c r="CF21" s="378" t="str">
        <f>Biodiversity!S14</f>
        <v>?</v>
      </c>
      <c r="CH21" s="378">
        <f>IF($BL$15=Data!$D$42,'Biodiversity Assessment'!BL21/100,IF($BL$15=Data!$D$43,'Biodiversity Assessment'!BL21/60,IF($BL$15=Data!$D$44,'Biodiversity Assessment'!BL21/50,"?")))</f>
        <v>0</v>
      </c>
      <c r="CJ21" s="378">
        <f>IF($BL$15=Data!$D$42,'Biodiversity Assessment'!BN21/100,IF($BL$15=Data!$D$43,'Biodiversity Assessment'!BN21/60,IF($BL$15=Data!$D$44,'Biodiversity Assessment'!BN21/50,"?")))</f>
        <v>0</v>
      </c>
      <c r="CN21" s="165">
        <f>'ESVD - Social Value of Bio'!G6</f>
        <v>0</v>
      </c>
      <c r="CO21" s="380"/>
      <c r="CP21" s="165" t="str">
        <f>IF('ESVD - Social Value of Bio'!H6=0," ",'ESVD - Social Value of Bio'!H6)</f>
        <v xml:space="preserve"> </v>
      </c>
      <c r="CQ21" s="380"/>
      <c r="CR21" s="376"/>
      <c r="CT21" s="165">
        <f>'ESVD - Social Value of Bio'!U6</f>
        <v>0</v>
      </c>
      <c r="CU21" s="380"/>
      <c r="CV21" s="165" t="str">
        <f>IF('ESVD - Social Value of Bio'!V6=0," ",'ESVD - Social Value of Bio'!V6)</f>
        <v xml:space="preserve"> </v>
      </c>
      <c r="CX21" s="374"/>
    </row>
    <row r="22" spans="1:102" s="188" customFormat="1" ht="16.5" customHeight="1" x14ac:dyDescent="0.3">
      <c r="A22" s="135"/>
      <c r="B22" s="419"/>
      <c r="C22" s="135"/>
      <c r="D22" s="135"/>
      <c r="E22" s="372" t="s">
        <v>212</v>
      </c>
      <c r="G22" s="421" t="s">
        <v>31</v>
      </c>
      <c r="H22" s="421"/>
      <c r="I22" s="421"/>
      <c r="J22" s="373" t="str">
        <f t="shared" si="2"/>
        <v/>
      </c>
      <c r="K22" s="370" t="s">
        <v>9</v>
      </c>
      <c r="M22" s="374">
        <v>0</v>
      </c>
      <c r="O22" s="421" t="s">
        <v>31</v>
      </c>
      <c r="P22" s="421"/>
      <c r="Q22" s="421"/>
      <c r="R22" s="373" t="str">
        <f t="shared" si="1"/>
        <v/>
      </c>
      <c r="S22" s="370" t="s">
        <v>9</v>
      </c>
      <c r="T22" s="373"/>
      <c r="U22" s="374">
        <v>0</v>
      </c>
      <c r="BD22" s="376">
        <v>0</v>
      </c>
      <c r="BE22" s="377"/>
      <c r="BF22" s="376">
        <v>0</v>
      </c>
      <c r="BH22" s="163" t="str">
        <f>IF(J22="","",IF(K22=1,Biodiversity!AG$11,IF('Biodiversity Assessment'!K22=2,Biodiversity!AG$12, IF('Biodiversity Assessment'!K22=3,Biodiversity!AG$13, IF('Biodiversity Assessment'!K22=4,Biodiversity!AG$14, IF('Biodiversity Assessment'!K22=5,Biodiversity!AG$15, IF('Biodiversity Assessment'!K22=6,Biodiversity!AG$16, IF('Biodiversity Assessment'!K22=7,Biodiversity!AG$17, IF('Biodiversity Assessment'!K22=8,Biodiversity!AG$18, IF('Biodiversity Assessment'!K22=9,Biodiversity!AG$19, IF('Biodiversity Assessment'!K22=10,Biodiversity!AG$20, IF('Biodiversity Assessment'!K22=11,Biodiversity!AG$21, IF('Biodiversity Assessment'!K22=12,Biodiversity!AG$22, IF('Biodiversity Assessment'!K22=13,Biodiversity!AG$23, IF('Biodiversity Assessment'!K22=14,Biodiversity!AG$24, IF('Biodiversity Assessment'!K22=15,Biodiversity!AG$25, IF('Biodiversity Assessment'!K22=16,Biodiversity!AG$26, IF('Biodiversity Assessment'!K22=17,Biodiversity!AG$27, IF('Biodiversity Assessment'!K22=18,Biodiversity!AG$28, IF('Biodiversity Assessment'!K22=19,Biodiversity!AG$29, IF('Biodiversity Assessment'!K22=20,Biodiversity!AG$30, IF('Biodiversity Assessment'!K22=21,Biodiversity!AG$31, IF('Biodiversity Assessment'!K22=22,Biodiversity!AG$32, IF('Biodiversity Assessment'!K22=23,Biodiversity!AG$33, IF('Biodiversity Assessment'!K22=24,Biodiversity!AG$34, IF('Biodiversity Assessment'!K22=25,Biodiversity!AG$35, IF('Biodiversity Assessment'!K22=26,Biodiversity!AG$36, IF('Biodiversity Assessment'!K22=27,Biodiversity!AG$37, IF('Biodiversity Assessment'!K22=28,Biodiversity!AG$38, IF('Biodiversity Assessment'!K22=29,Biodiversity!AG$39, IF('Biodiversity Assessment'!K22=30,Biodiversity!AG$40, IF('Biodiversity Assessment'!K22="?","Artificial"))))))))))))))))))))))))))))))))</f>
        <v/>
      </c>
      <c r="BJ22" s="163" t="str">
        <f>IF(R22="","",IF(S22=1,Biodiversity!AJ$11,IF('Biodiversity Assessment'!S22=2,Biodiversity!AJ$12, IF('Biodiversity Assessment'!S22=3,Biodiversity!AJ$13, IF('Biodiversity Assessment'!S22=4,Biodiversity!AJ$14, IF('Biodiversity Assessment'!S22=5,Biodiversity!AJ$15, IF('Biodiversity Assessment'!S22=6,Biodiversity!AJ$16, IF('Biodiversity Assessment'!S22=7,Biodiversity!AJ$17, IF('Biodiversity Assessment'!S22=8,Biodiversity!AJ$18, IF('Biodiversity Assessment'!S22=9,Biodiversity!AJ$19, IF('Biodiversity Assessment'!S22=10,Biodiversity!AJ$20, IF('Biodiversity Assessment'!S22=11,Biodiversity!AJ$21, IF('Biodiversity Assessment'!S22=12,Biodiversity!AJ$22, IF('Biodiversity Assessment'!S22=13,Biodiversity!AJ$23, IF('Biodiversity Assessment'!S22=14,Biodiversity!AJ$24, IF('Biodiversity Assessment'!S22=15,Biodiversity!AJ$25, IF('Biodiversity Assessment'!S22=16,Biodiversity!AJ$26, IF('Biodiversity Assessment'!S22=17,Biodiversity!AJ$27, IF('Biodiversity Assessment'!S22=18,Biodiversity!AJ$28, IF('Biodiversity Assessment'!S22=19,Biodiversity!AJ$29, IF('Biodiversity Assessment'!S22=20,Biodiversity!AJ$30, IF('Biodiversity Assessment'!S22=21,Biodiversity!AJ$31, IF('Biodiversity Assessment'!S22=22,Biodiversity!AJ$32, IF('Biodiversity Assessment'!S22=23,Biodiversity!AJ$33, IF('Biodiversity Assessment'!S22=24,Biodiversity!AJ$34, IF('Biodiversity Assessment'!S22=25,Biodiversity!AJ$35, IF('Biodiversity Assessment'!S22=26,Biodiversity!AJ$36, IF('Biodiversity Assessment'!S22=27,Biodiversity!AJ$37, IF('Biodiversity Assessment'!S22=28,Biodiversity!AJ$38, IF('Biodiversity Assessment'!S22=29,Biodiversity!AJ$39, IF('Biodiversity Assessment'!S22=30,Biodiversity!AJ$40, IF('Biodiversity Assessment'!S22="?","Artificial"))))))))))))))))))))))))))))))))</f>
        <v/>
      </c>
      <c r="BL22" s="164">
        <v>0</v>
      </c>
      <c r="BN22" s="164">
        <v>0</v>
      </c>
      <c r="BP22" s="375"/>
      <c r="BQ22" s="375"/>
      <c r="BR22" s="378" t="str">
        <f>Biodiversity!K15</f>
        <v>?</v>
      </c>
      <c r="BT22" s="378" t="str">
        <f>Biodiversity!L15</f>
        <v>?</v>
      </c>
      <c r="BV22" s="378" t="str">
        <f>Biodiversity!M15</f>
        <v>?</v>
      </c>
      <c r="BX22" s="378" t="str">
        <f>Biodiversity!N15</f>
        <v>?</v>
      </c>
      <c r="BZ22" s="378" t="str">
        <f>Biodiversity!O15</f>
        <v>?</v>
      </c>
      <c r="CB22" s="378" t="str">
        <f>Biodiversity!P15</f>
        <v>?</v>
      </c>
      <c r="CD22" s="378" t="str">
        <f>Biodiversity!R15</f>
        <v>?</v>
      </c>
      <c r="CF22" s="378" t="str">
        <f>Biodiversity!S15</f>
        <v>?</v>
      </c>
      <c r="CH22" s="378">
        <f>IF($BL$15=Data!$D$42,'Biodiversity Assessment'!BL22/100,IF($BL$15=Data!$D$43,'Biodiversity Assessment'!BL22/60,IF($BL$15=Data!$D$44,'Biodiversity Assessment'!BL22/50,"?")))</f>
        <v>0</v>
      </c>
      <c r="CJ22" s="378">
        <f>IF($BL$15=Data!$D$42,'Biodiversity Assessment'!BN22/100,IF($BL$15=Data!$D$43,'Biodiversity Assessment'!BN22/60,IF($BL$15=Data!$D$44,'Biodiversity Assessment'!BN22/50,"?")))</f>
        <v>0</v>
      </c>
      <c r="CN22" s="165">
        <f>'ESVD - Social Value of Bio'!G7</f>
        <v>0</v>
      </c>
      <c r="CO22" s="380"/>
      <c r="CP22" s="165" t="str">
        <f>IF('ESVD - Social Value of Bio'!H7=0," ",'ESVD - Social Value of Bio'!H7)</f>
        <v xml:space="preserve"> </v>
      </c>
      <c r="CQ22" s="380"/>
      <c r="CR22" s="376"/>
      <c r="CT22" s="165">
        <f>'ESVD - Social Value of Bio'!U7</f>
        <v>0</v>
      </c>
      <c r="CU22" s="380"/>
      <c r="CV22" s="165" t="str">
        <f>IF('ESVD - Social Value of Bio'!V7=0," ",'ESVD - Social Value of Bio'!V7)</f>
        <v xml:space="preserve"> </v>
      </c>
      <c r="CX22" s="374"/>
    </row>
    <row r="23" spans="1:102" s="188" customFormat="1" ht="16.5" customHeight="1" x14ac:dyDescent="0.3">
      <c r="A23" s="135"/>
      <c r="B23" s="419"/>
      <c r="C23" s="135"/>
      <c r="D23" s="135"/>
      <c r="E23" s="372" t="s">
        <v>213</v>
      </c>
      <c r="G23" s="421" t="s">
        <v>31</v>
      </c>
      <c r="H23" s="421"/>
      <c r="I23" s="421"/>
      <c r="J23" s="373" t="str">
        <f t="shared" si="2"/>
        <v/>
      </c>
      <c r="K23" s="370" t="s">
        <v>9</v>
      </c>
      <c r="M23" s="374">
        <v>0</v>
      </c>
      <c r="O23" s="421" t="s">
        <v>31</v>
      </c>
      <c r="P23" s="421"/>
      <c r="Q23" s="421"/>
      <c r="R23" s="373" t="str">
        <f t="shared" si="1"/>
        <v/>
      </c>
      <c r="S23" s="370" t="s">
        <v>9</v>
      </c>
      <c r="T23" s="373"/>
      <c r="U23" s="374">
        <v>0</v>
      </c>
      <c r="BD23" s="376">
        <v>0</v>
      </c>
      <c r="BE23" s="377"/>
      <c r="BF23" s="376">
        <v>0</v>
      </c>
      <c r="BH23" s="163" t="str">
        <f>IF(J23="","",IF(K23=1,Biodiversity!AG$11,IF('Biodiversity Assessment'!K23=2,Biodiversity!AG$12, IF('Biodiversity Assessment'!K23=3,Biodiversity!AG$13, IF('Biodiversity Assessment'!K23=4,Biodiversity!AG$14, IF('Biodiversity Assessment'!K23=5,Biodiversity!AG$15, IF('Biodiversity Assessment'!K23=6,Biodiversity!AG$16, IF('Biodiversity Assessment'!K23=7,Biodiversity!AG$17, IF('Biodiversity Assessment'!K23=8,Biodiversity!AG$18, IF('Biodiversity Assessment'!K23=9,Biodiversity!AG$19, IF('Biodiversity Assessment'!K23=10,Biodiversity!AG$20, IF('Biodiversity Assessment'!K23=11,Biodiversity!AG$21, IF('Biodiversity Assessment'!K23=12,Biodiversity!AG$22, IF('Biodiversity Assessment'!K23=13,Biodiversity!AG$23, IF('Biodiversity Assessment'!K23=14,Biodiversity!AG$24, IF('Biodiversity Assessment'!K23=15,Biodiversity!AG$25, IF('Biodiversity Assessment'!K23=16,Biodiversity!AG$26, IF('Biodiversity Assessment'!K23=17,Biodiversity!AG$27, IF('Biodiversity Assessment'!K23=18,Biodiversity!AG$28, IF('Biodiversity Assessment'!K23=19,Biodiversity!AG$29, IF('Biodiversity Assessment'!K23=20,Biodiversity!AG$30, IF('Biodiversity Assessment'!K23=21,Biodiversity!AG$31, IF('Biodiversity Assessment'!K23=22,Biodiversity!AG$32, IF('Biodiversity Assessment'!K23=23,Biodiversity!AG$33, IF('Biodiversity Assessment'!K23=24,Biodiversity!AG$34, IF('Biodiversity Assessment'!K23=25,Biodiversity!AG$35, IF('Biodiversity Assessment'!K23=26,Biodiversity!AG$36, IF('Biodiversity Assessment'!K23=27,Biodiversity!AG$37, IF('Biodiversity Assessment'!K23=28,Biodiversity!AG$38, IF('Biodiversity Assessment'!K23=29,Biodiversity!AG$39, IF('Biodiversity Assessment'!K23=30,Biodiversity!AG$40, IF('Biodiversity Assessment'!K23="?","Artificial"))))))))))))))))))))))))))))))))</f>
        <v/>
      </c>
      <c r="BJ23" s="163" t="str">
        <f>IF(R23="","",IF(S23=1,Biodiversity!AJ$11,IF('Biodiversity Assessment'!S23=2,Biodiversity!AJ$12, IF('Biodiversity Assessment'!S23=3,Biodiversity!AJ$13, IF('Biodiversity Assessment'!S23=4,Biodiversity!AJ$14, IF('Biodiversity Assessment'!S23=5,Biodiversity!AJ$15, IF('Biodiversity Assessment'!S23=6,Biodiversity!AJ$16, IF('Biodiversity Assessment'!S23=7,Biodiversity!AJ$17, IF('Biodiversity Assessment'!S23=8,Biodiversity!AJ$18, IF('Biodiversity Assessment'!S23=9,Biodiversity!AJ$19, IF('Biodiversity Assessment'!S23=10,Biodiversity!AJ$20, IF('Biodiversity Assessment'!S23=11,Biodiversity!AJ$21, IF('Biodiversity Assessment'!S23=12,Biodiversity!AJ$22, IF('Biodiversity Assessment'!S23=13,Biodiversity!AJ$23, IF('Biodiversity Assessment'!S23=14,Biodiversity!AJ$24, IF('Biodiversity Assessment'!S23=15,Biodiversity!AJ$25, IF('Biodiversity Assessment'!S23=16,Biodiversity!AJ$26, IF('Biodiversity Assessment'!S23=17,Biodiversity!AJ$27, IF('Biodiversity Assessment'!S23=18,Biodiversity!AJ$28, IF('Biodiversity Assessment'!S23=19,Biodiversity!AJ$29, IF('Biodiversity Assessment'!S23=20,Biodiversity!AJ$30, IF('Biodiversity Assessment'!S23=21,Biodiversity!AJ$31, IF('Biodiversity Assessment'!S23=22,Biodiversity!AJ$32, IF('Biodiversity Assessment'!S23=23,Biodiversity!AJ$33, IF('Biodiversity Assessment'!S23=24,Biodiversity!AJ$34, IF('Biodiversity Assessment'!S23=25,Biodiversity!AJ$35, IF('Biodiversity Assessment'!S23=26,Biodiversity!AJ$36, IF('Biodiversity Assessment'!S23=27,Biodiversity!AJ$37, IF('Biodiversity Assessment'!S23=28,Biodiversity!AJ$38, IF('Biodiversity Assessment'!S23=29,Biodiversity!AJ$39, IF('Biodiversity Assessment'!S23=30,Biodiversity!AJ$40, IF('Biodiversity Assessment'!S23="?","Artificial"))))))))))))))))))))))))))))))))</f>
        <v/>
      </c>
      <c r="BL23" s="164">
        <v>0</v>
      </c>
      <c r="BN23" s="164">
        <v>0</v>
      </c>
      <c r="BP23" s="375"/>
      <c r="BQ23" s="375"/>
      <c r="BR23" s="378" t="str">
        <f>Biodiversity!K16</f>
        <v>?</v>
      </c>
      <c r="BT23" s="378" t="str">
        <f>Biodiversity!L16</f>
        <v>?</v>
      </c>
      <c r="BV23" s="378" t="str">
        <f>Biodiversity!M16</f>
        <v>?</v>
      </c>
      <c r="BX23" s="378" t="str">
        <f>Biodiversity!N16</f>
        <v>?</v>
      </c>
      <c r="BZ23" s="378" t="str">
        <f>Biodiversity!O16</f>
        <v>?</v>
      </c>
      <c r="CB23" s="378" t="str">
        <f>Biodiversity!P16</f>
        <v>?</v>
      </c>
      <c r="CD23" s="378" t="str">
        <f>Biodiversity!R16</f>
        <v>?</v>
      </c>
      <c r="CF23" s="378" t="str">
        <f>Biodiversity!S16</f>
        <v>?</v>
      </c>
      <c r="CH23" s="378">
        <f>IF($BL$15=Data!$D$42,'Biodiversity Assessment'!BL23/100,IF($BL$15=Data!$D$43,'Biodiversity Assessment'!BL23/60,IF($BL$15=Data!$D$44,'Biodiversity Assessment'!BL23/50,"?")))</f>
        <v>0</v>
      </c>
      <c r="CJ23" s="378">
        <f>IF($BL$15=Data!$D$42,'Biodiversity Assessment'!BN23/100,IF($BL$15=Data!$D$43,'Biodiversity Assessment'!BN23/60,IF($BL$15=Data!$D$44,'Biodiversity Assessment'!BN23/50,"?")))</f>
        <v>0</v>
      </c>
      <c r="CN23" s="165">
        <f>'ESVD - Social Value of Bio'!G8</f>
        <v>0</v>
      </c>
      <c r="CO23" s="380"/>
      <c r="CP23" s="165" t="str">
        <f>IF('ESVD - Social Value of Bio'!H8=0," ",'ESVD - Social Value of Bio'!H8)</f>
        <v xml:space="preserve"> </v>
      </c>
      <c r="CQ23" s="380"/>
      <c r="CR23" s="376"/>
      <c r="CT23" s="165">
        <f>'ESVD - Social Value of Bio'!U8</f>
        <v>0</v>
      </c>
      <c r="CU23" s="380"/>
      <c r="CV23" s="165" t="str">
        <f>IF('ESVD - Social Value of Bio'!V8=0," ",'ESVD - Social Value of Bio'!V8)</f>
        <v xml:space="preserve"> </v>
      </c>
      <c r="CX23" s="374"/>
    </row>
    <row r="24" spans="1:102" s="188" customFormat="1" ht="16.5" customHeight="1" x14ac:dyDescent="0.3">
      <c r="A24" s="135"/>
      <c r="B24" s="419"/>
      <c r="C24" s="135"/>
      <c r="D24" s="135"/>
      <c r="E24" s="372" t="s">
        <v>214</v>
      </c>
      <c r="G24" s="421" t="s">
        <v>31</v>
      </c>
      <c r="H24" s="421"/>
      <c r="I24" s="421"/>
      <c r="J24" s="373" t="str">
        <f t="shared" si="2"/>
        <v/>
      </c>
      <c r="K24" s="370" t="s">
        <v>9</v>
      </c>
      <c r="M24" s="374">
        <v>0</v>
      </c>
      <c r="O24" s="421" t="s">
        <v>31</v>
      </c>
      <c r="P24" s="421"/>
      <c r="Q24" s="421"/>
      <c r="R24" s="373" t="str">
        <f t="shared" si="1"/>
        <v/>
      </c>
      <c r="S24" s="370" t="s">
        <v>9</v>
      </c>
      <c r="T24" s="373"/>
      <c r="U24" s="374">
        <v>0</v>
      </c>
      <c r="BD24" s="376">
        <v>0</v>
      </c>
      <c r="BE24" s="377"/>
      <c r="BF24" s="376">
        <v>0</v>
      </c>
      <c r="BH24" s="163" t="str">
        <f>IF(J24="","",IF(K24=1,Biodiversity!AG$11,IF('Biodiversity Assessment'!K24=2,Biodiversity!AG$12, IF('Biodiversity Assessment'!K24=3,Biodiversity!AG$13, IF('Biodiversity Assessment'!K24=4,Biodiversity!AG$14, IF('Biodiversity Assessment'!K24=5,Biodiversity!AG$15, IF('Biodiversity Assessment'!K24=6,Biodiversity!AG$16, IF('Biodiversity Assessment'!K24=7,Biodiversity!AG$17, IF('Biodiversity Assessment'!K24=8,Biodiversity!AG$18, IF('Biodiversity Assessment'!K24=9,Biodiversity!AG$19, IF('Biodiversity Assessment'!K24=10,Biodiversity!AG$20, IF('Biodiversity Assessment'!K24=11,Biodiversity!AG$21, IF('Biodiversity Assessment'!K24=12,Biodiversity!AG$22, IF('Biodiversity Assessment'!K24=13,Biodiversity!AG$23, IF('Biodiversity Assessment'!K24=14,Biodiversity!AG$24, IF('Biodiversity Assessment'!K24=15,Biodiversity!AG$25, IF('Biodiversity Assessment'!K24=16,Biodiversity!AG$26, IF('Biodiversity Assessment'!K24=17,Biodiversity!AG$27, IF('Biodiversity Assessment'!K24=18,Biodiversity!AG$28, IF('Biodiversity Assessment'!K24=19,Biodiversity!AG$29, IF('Biodiversity Assessment'!K24=20,Biodiversity!AG$30, IF('Biodiversity Assessment'!K24=21,Biodiversity!AG$31, IF('Biodiversity Assessment'!K24=22,Biodiversity!AG$32, IF('Biodiversity Assessment'!K24=23,Biodiversity!AG$33, IF('Biodiversity Assessment'!K24=24,Biodiversity!AG$34, IF('Biodiversity Assessment'!K24=25,Biodiversity!AG$35, IF('Biodiversity Assessment'!K24=26,Biodiversity!AG$36, IF('Biodiversity Assessment'!K24=27,Biodiversity!AG$37, IF('Biodiversity Assessment'!K24=28,Biodiversity!AG$38, IF('Biodiversity Assessment'!K24=29,Biodiversity!AG$39, IF('Biodiversity Assessment'!K24=30,Biodiversity!AG$40, IF('Biodiversity Assessment'!K24="?","Artificial"))))))))))))))))))))))))))))))))</f>
        <v/>
      </c>
      <c r="BJ24" s="163" t="str">
        <f>IF(R24="","",IF(S24=1,Biodiversity!AJ$11,IF('Biodiversity Assessment'!S24=2,Biodiversity!AJ$12, IF('Biodiversity Assessment'!S24=3,Biodiversity!AJ$13, IF('Biodiversity Assessment'!S24=4,Biodiversity!AJ$14, IF('Biodiversity Assessment'!S24=5,Biodiversity!AJ$15, IF('Biodiversity Assessment'!S24=6,Biodiversity!AJ$16, IF('Biodiversity Assessment'!S24=7,Biodiversity!AJ$17, IF('Biodiversity Assessment'!S24=8,Biodiversity!AJ$18, IF('Biodiversity Assessment'!S24=9,Biodiversity!AJ$19, IF('Biodiversity Assessment'!S24=10,Biodiversity!AJ$20, IF('Biodiversity Assessment'!S24=11,Biodiversity!AJ$21, IF('Biodiversity Assessment'!S24=12,Biodiversity!AJ$22, IF('Biodiversity Assessment'!S24=13,Biodiversity!AJ$23, IF('Biodiversity Assessment'!S24=14,Biodiversity!AJ$24, IF('Biodiversity Assessment'!S24=15,Biodiversity!AJ$25, IF('Biodiversity Assessment'!S24=16,Biodiversity!AJ$26, IF('Biodiversity Assessment'!S24=17,Biodiversity!AJ$27, IF('Biodiversity Assessment'!S24=18,Biodiversity!AJ$28, IF('Biodiversity Assessment'!S24=19,Biodiversity!AJ$29, IF('Biodiversity Assessment'!S24=20,Biodiversity!AJ$30, IF('Biodiversity Assessment'!S24=21,Biodiversity!AJ$31, IF('Biodiversity Assessment'!S24=22,Biodiversity!AJ$32, IF('Biodiversity Assessment'!S24=23,Biodiversity!AJ$33, IF('Biodiversity Assessment'!S24=24,Biodiversity!AJ$34, IF('Biodiversity Assessment'!S24=25,Biodiversity!AJ$35, IF('Biodiversity Assessment'!S24=26,Biodiversity!AJ$36, IF('Biodiversity Assessment'!S24=27,Biodiversity!AJ$37, IF('Biodiversity Assessment'!S24=28,Biodiversity!AJ$38, IF('Biodiversity Assessment'!S24=29,Biodiversity!AJ$39, IF('Biodiversity Assessment'!S24=30,Biodiversity!AJ$40, IF('Biodiversity Assessment'!S24="?","Artificial"))))))))))))))))))))))))))))))))</f>
        <v/>
      </c>
      <c r="BL24" s="164">
        <v>0</v>
      </c>
      <c r="BN24" s="164">
        <v>0</v>
      </c>
      <c r="BP24" s="375"/>
      <c r="BQ24" s="375"/>
      <c r="BR24" s="378" t="str">
        <f>Biodiversity!K17</f>
        <v>?</v>
      </c>
      <c r="BT24" s="378" t="str">
        <f>Biodiversity!L17</f>
        <v>?</v>
      </c>
      <c r="BV24" s="378" t="str">
        <f>Biodiversity!M17</f>
        <v>?</v>
      </c>
      <c r="BX24" s="378" t="str">
        <f>Biodiversity!N17</f>
        <v>?</v>
      </c>
      <c r="BZ24" s="378" t="str">
        <f>Biodiversity!O17</f>
        <v>?</v>
      </c>
      <c r="CB24" s="378" t="str">
        <f>Biodiversity!P17</f>
        <v>?</v>
      </c>
      <c r="CD24" s="378" t="str">
        <f>Biodiversity!R17</f>
        <v>?</v>
      </c>
      <c r="CF24" s="378" t="str">
        <f>Biodiversity!S17</f>
        <v>?</v>
      </c>
      <c r="CH24" s="378">
        <f>IF($BL$15=Data!$D$42,'Biodiversity Assessment'!BL24/100,IF($BL$15=Data!$D$43,'Biodiversity Assessment'!BL24/60,IF($BL$15=Data!$D$44,'Biodiversity Assessment'!BL24/50,"?")))</f>
        <v>0</v>
      </c>
      <c r="CJ24" s="378">
        <f>IF($BL$15=Data!$D$42,'Biodiversity Assessment'!BN24/100,IF($BL$15=Data!$D$43,'Biodiversity Assessment'!BN24/60,IF($BL$15=Data!$D$44,'Biodiversity Assessment'!BN24/50,"?")))</f>
        <v>0</v>
      </c>
      <c r="CN24" s="165">
        <f>'ESVD - Social Value of Bio'!G9</f>
        <v>0</v>
      </c>
      <c r="CO24" s="380"/>
      <c r="CP24" s="165" t="str">
        <f>IF('ESVD - Social Value of Bio'!H9=0," ",'ESVD - Social Value of Bio'!H9)</f>
        <v xml:space="preserve"> </v>
      </c>
      <c r="CQ24" s="380"/>
      <c r="CR24" s="376"/>
      <c r="CT24" s="165">
        <f>'ESVD - Social Value of Bio'!U9</f>
        <v>0</v>
      </c>
      <c r="CU24" s="380"/>
      <c r="CV24" s="165" t="str">
        <f>IF('ESVD - Social Value of Bio'!V9=0," ",'ESVD - Social Value of Bio'!V9)</f>
        <v xml:space="preserve"> </v>
      </c>
      <c r="CX24" s="374"/>
    </row>
    <row r="25" spans="1:102" s="188" customFormat="1" ht="16.5" customHeight="1" x14ac:dyDescent="0.3">
      <c r="A25" s="135"/>
      <c r="B25" s="419"/>
      <c r="C25" s="135"/>
      <c r="D25" s="135"/>
      <c r="E25" s="372" t="s">
        <v>215</v>
      </c>
      <c r="G25" s="421" t="s">
        <v>31</v>
      </c>
      <c r="H25" s="421"/>
      <c r="I25" s="421"/>
      <c r="J25" s="373" t="str">
        <f t="shared" si="2"/>
        <v/>
      </c>
      <c r="K25" s="370" t="s">
        <v>9</v>
      </c>
      <c r="M25" s="374">
        <v>0</v>
      </c>
      <c r="O25" s="421" t="s">
        <v>31</v>
      </c>
      <c r="P25" s="421"/>
      <c r="Q25" s="421"/>
      <c r="R25" s="373" t="str">
        <f t="shared" si="1"/>
        <v/>
      </c>
      <c r="S25" s="370" t="s">
        <v>9</v>
      </c>
      <c r="T25" s="373"/>
      <c r="U25" s="374">
        <v>0</v>
      </c>
      <c r="BD25" s="376">
        <v>0</v>
      </c>
      <c r="BE25" s="377"/>
      <c r="BF25" s="376">
        <v>0</v>
      </c>
      <c r="BH25" s="163" t="str">
        <f>IF(J25="","",IF(K25=1,Biodiversity!AG$11,IF('Biodiversity Assessment'!K25=2,Biodiversity!AG$12, IF('Biodiversity Assessment'!K25=3,Biodiversity!AG$13, IF('Biodiversity Assessment'!K25=4,Biodiversity!AG$14, IF('Biodiversity Assessment'!K25=5,Biodiversity!AG$15, IF('Biodiversity Assessment'!K25=6,Biodiversity!AG$16, IF('Biodiversity Assessment'!K25=7,Biodiversity!AG$17, IF('Biodiversity Assessment'!K25=8,Biodiversity!AG$18, IF('Biodiversity Assessment'!K25=9,Biodiversity!AG$19, IF('Biodiversity Assessment'!K25=10,Biodiversity!AG$20, IF('Biodiversity Assessment'!K25=11,Biodiversity!AG$21, IF('Biodiversity Assessment'!K25=12,Biodiversity!AG$22, IF('Biodiversity Assessment'!K25=13,Biodiversity!AG$23, IF('Biodiversity Assessment'!K25=14,Biodiversity!AG$24, IF('Biodiversity Assessment'!K25=15,Biodiversity!AG$25, IF('Biodiversity Assessment'!K25=16,Biodiversity!AG$26, IF('Biodiversity Assessment'!K25=17,Biodiversity!AG$27, IF('Biodiversity Assessment'!K25=18,Biodiversity!AG$28, IF('Biodiversity Assessment'!K25=19,Biodiversity!AG$29, IF('Biodiversity Assessment'!K25=20,Biodiversity!AG$30, IF('Biodiversity Assessment'!K25=21,Biodiversity!AG$31, IF('Biodiversity Assessment'!K25=22,Biodiversity!AG$32, IF('Biodiversity Assessment'!K25=23,Biodiversity!AG$33, IF('Biodiversity Assessment'!K25=24,Biodiversity!AG$34, IF('Biodiversity Assessment'!K25=25,Biodiversity!AG$35, IF('Biodiversity Assessment'!K25=26,Biodiversity!AG$36, IF('Biodiversity Assessment'!K25=27,Biodiversity!AG$37, IF('Biodiversity Assessment'!K25=28,Biodiversity!AG$38, IF('Biodiversity Assessment'!K25=29,Biodiversity!AG$39, IF('Biodiversity Assessment'!K25=30,Biodiversity!AG$40, IF('Biodiversity Assessment'!K25="?","Artificial"))))))))))))))))))))))))))))))))</f>
        <v/>
      </c>
      <c r="BJ25" s="163" t="str">
        <f>IF(R25="","",IF(S25=1,Biodiversity!AJ$11,IF('Biodiversity Assessment'!S25=2,Biodiversity!AJ$12, IF('Biodiversity Assessment'!S25=3,Biodiversity!AJ$13, IF('Biodiversity Assessment'!S25=4,Biodiversity!AJ$14, IF('Biodiversity Assessment'!S25=5,Biodiversity!AJ$15, IF('Biodiversity Assessment'!S25=6,Biodiversity!AJ$16, IF('Biodiversity Assessment'!S25=7,Biodiversity!AJ$17, IF('Biodiversity Assessment'!S25=8,Biodiversity!AJ$18, IF('Biodiversity Assessment'!S25=9,Biodiversity!AJ$19, IF('Biodiversity Assessment'!S25=10,Biodiversity!AJ$20, IF('Biodiversity Assessment'!S25=11,Biodiversity!AJ$21, IF('Biodiversity Assessment'!S25=12,Biodiversity!AJ$22, IF('Biodiversity Assessment'!S25=13,Biodiversity!AJ$23, IF('Biodiversity Assessment'!S25=14,Biodiversity!AJ$24, IF('Biodiversity Assessment'!S25=15,Biodiversity!AJ$25, IF('Biodiversity Assessment'!S25=16,Biodiversity!AJ$26, IF('Biodiversity Assessment'!S25=17,Biodiversity!AJ$27, IF('Biodiversity Assessment'!S25=18,Biodiversity!AJ$28, IF('Biodiversity Assessment'!S25=19,Biodiversity!AJ$29, IF('Biodiversity Assessment'!S25=20,Biodiversity!AJ$30, IF('Biodiversity Assessment'!S25=21,Biodiversity!AJ$31, IF('Biodiversity Assessment'!S25=22,Biodiversity!AJ$32, IF('Biodiversity Assessment'!S25=23,Biodiversity!AJ$33, IF('Biodiversity Assessment'!S25=24,Biodiversity!AJ$34, IF('Biodiversity Assessment'!S25=25,Biodiversity!AJ$35, IF('Biodiversity Assessment'!S25=26,Biodiversity!AJ$36, IF('Biodiversity Assessment'!S25=27,Biodiversity!AJ$37, IF('Biodiversity Assessment'!S25=28,Biodiversity!AJ$38, IF('Biodiversity Assessment'!S25=29,Biodiversity!AJ$39, IF('Biodiversity Assessment'!S25=30,Biodiversity!AJ$40, IF('Biodiversity Assessment'!S25="?","Artificial"))))))))))))))))))))))))))))))))</f>
        <v/>
      </c>
      <c r="BL25" s="164">
        <v>0</v>
      </c>
      <c r="BN25" s="164">
        <v>0</v>
      </c>
      <c r="BP25" s="375"/>
      <c r="BQ25" s="375"/>
      <c r="BR25" s="378" t="str">
        <f>Biodiversity!K18</f>
        <v>?</v>
      </c>
      <c r="BT25" s="378" t="str">
        <f>Biodiversity!L18</f>
        <v>?</v>
      </c>
      <c r="BV25" s="378" t="str">
        <f>Biodiversity!M18</f>
        <v>?</v>
      </c>
      <c r="BX25" s="378" t="str">
        <f>Biodiversity!N18</f>
        <v>?</v>
      </c>
      <c r="BZ25" s="378" t="str">
        <f>Biodiversity!O18</f>
        <v>?</v>
      </c>
      <c r="CB25" s="378" t="str">
        <f>Biodiversity!P18</f>
        <v>?</v>
      </c>
      <c r="CD25" s="378" t="str">
        <f>Biodiversity!R18</f>
        <v>?</v>
      </c>
      <c r="CF25" s="378" t="str">
        <f>Biodiversity!S18</f>
        <v>?</v>
      </c>
      <c r="CH25" s="378">
        <f>IF($BL$15=Data!$D$42,'Biodiversity Assessment'!BL25/100,IF($BL$15=Data!$D$43,'Biodiversity Assessment'!BL25/60,IF($BL$15=Data!$D$44,'Biodiversity Assessment'!BL25/50,"?")))</f>
        <v>0</v>
      </c>
      <c r="CJ25" s="378">
        <f>IF($BL$15=Data!$D$42,'Biodiversity Assessment'!BN25/100,IF($BL$15=Data!$D$43,'Biodiversity Assessment'!BN25/60,IF($BL$15=Data!$D$44,'Biodiversity Assessment'!BN25/50,"?")))</f>
        <v>0</v>
      </c>
      <c r="CN25" s="165">
        <f>'ESVD - Social Value of Bio'!G10</f>
        <v>0</v>
      </c>
      <c r="CO25" s="380"/>
      <c r="CP25" s="165" t="str">
        <f>IF('ESVD - Social Value of Bio'!H10=0," ",'ESVD - Social Value of Bio'!H10)</f>
        <v xml:space="preserve"> </v>
      </c>
      <c r="CQ25" s="380"/>
      <c r="CR25" s="376"/>
      <c r="CT25" s="165">
        <f>'ESVD - Social Value of Bio'!U10</f>
        <v>0</v>
      </c>
      <c r="CU25" s="380"/>
      <c r="CV25" s="165" t="str">
        <f>IF('ESVD - Social Value of Bio'!V10=0," ",'ESVD - Social Value of Bio'!V10)</f>
        <v xml:space="preserve"> </v>
      </c>
      <c r="CX25" s="374"/>
    </row>
    <row r="26" spans="1:102" s="188" customFormat="1" ht="16.5" customHeight="1" x14ac:dyDescent="0.3">
      <c r="A26" s="135"/>
      <c r="B26" s="419"/>
      <c r="C26" s="135"/>
      <c r="D26" s="135"/>
      <c r="E26" s="372" t="s">
        <v>216</v>
      </c>
      <c r="G26" s="421" t="s">
        <v>31</v>
      </c>
      <c r="H26" s="421"/>
      <c r="I26" s="421"/>
      <c r="J26" s="373" t="str">
        <f t="shared" si="2"/>
        <v/>
      </c>
      <c r="K26" s="370" t="s">
        <v>9</v>
      </c>
      <c r="M26" s="374">
        <v>0</v>
      </c>
      <c r="O26" s="421" t="s">
        <v>31</v>
      </c>
      <c r="P26" s="421"/>
      <c r="Q26" s="421"/>
      <c r="R26" s="373" t="str">
        <f t="shared" si="1"/>
        <v/>
      </c>
      <c r="S26" s="370" t="s">
        <v>9</v>
      </c>
      <c r="T26" s="373"/>
      <c r="U26" s="374">
        <v>0</v>
      </c>
      <c r="BD26" s="376">
        <v>0</v>
      </c>
      <c r="BE26" s="377"/>
      <c r="BF26" s="376">
        <v>0</v>
      </c>
      <c r="BH26" s="163" t="str">
        <f>IF(J26="","",IF(K26=1,Biodiversity!AG$11,IF('Biodiversity Assessment'!K26=2,Biodiversity!AG$12, IF('Biodiversity Assessment'!K26=3,Biodiversity!AG$13, IF('Biodiversity Assessment'!K26=4,Biodiversity!AG$14, IF('Biodiversity Assessment'!K26=5,Biodiversity!AG$15, IF('Biodiversity Assessment'!K26=6,Biodiversity!AG$16, IF('Biodiversity Assessment'!K26=7,Biodiversity!AG$17, IF('Biodiversity Assessment'!K26=8,Biodiversity!AG$18, IF('Biodiversity Assessment'!K26=9,Biodiversity!AG$19, IF('Biodiversity Assessment'!K26=10,Biodiversity!AG$20, IF('Biodiversity Assessment'!K26=11,Biodiversity!AG$21, IF('Biodiversity Assessment'!K26=12,Biodiversity!AG$22, IF('Biodiversity Assessment'!K26=13,Biodiversity!AG$23, IF('Biodiversity Assessment'!K26=14,Biodiversity!AG$24, IF('Biodiversity Assessment'!K26=15,Biodiversity!AG$25, IF('Biodiversity Assessment'!K26=16,Biodiversity!AG$26, IF('Biodiversity Assessment'!K26=17,Biodiversity!AG$27, IF('Biodiversity Assessment'!K26=18,Biodiversity!AG$28, IF('Biodiversity Assessment'!K26=19,Biodiversity!AG$29, IF('Biodiversity Assessment'!K26=20,Biodiversity!AG$30, IF('Biodiversity Assessment'!K26=21,Biodiversity!AG$31, IF('Biodiversity Assessment'!K26=22,Biodiversity!AG$32, IF('Biodiversity Assessment'!K26=23,Biodiversity!AG$33, IF('Biodiversity Assessment'!K26=24,Biodiversity!AG$34, IF('Biodiversity Assessment'!K26=25,Biodiversity!AG$35, IF('Biodiversity Assessment'!K26=26,Biodiversity!AG$36, IF('Biodiversity Assessment'!K26=27,Biodiversity!AG$37, IF('Biodiversity Assessment'!K26=28,Biodiversity!AG$38, IF('Biodiversity Assessment'!K26=29,Biodiversity!AG$39, IF('Biodiversity Assessment'!K26=30,Biodiversity!AG$40, IF('Biodiversity Assessment'!K26="?","Artificial"))))))))))))))))))))))))))))))))</f>
        <v/>
      </c>
      <c r="BJ26" s="163" t="str">
        <f>IF(R26="","",IF(S26=1,Biodiversity!AJ$11,IF('Biodiversity Assessment'!S26=2,Biodiversity!AJ$12, IF('Biodiversity Assessment'!S26=3,Biodiversity!AJ$13, IF('Biodiversity Assessment'!S26=4,Biodiversity!AJ$14, IF('Biodiversity Assessment'!S26=5,Biodiversity!AJ$15, IF('Biodiversity Assessment'!S26=6,Biodiversity!AJ$16, IF('Biodiversity Assessment'!S26=7,Biodiversity!AJ$17, IF('Biodiversity Assessment'!S26=8,Biodiversity!AJ$18, IF('Biodiversity Assessment'!S26=9,Biodiversity!AJ$19, IF('Biodiversity Assessment'!S26=10,Biodiversity!AJ$20, IF('Biodiversity Assessment'!S26=11,Biodiversity!AJ$21, IF('Biodiversity Assessment'!S26=12,Biodiversity!AJ$22, IF('Biodiversity Assessment'!S26=13,Biodiversity!AJ$23, IF('Biodiversity Assessment'!S26=14,Biodiversity!AJ$24, IF('Biodiversity Assessment'!S26=15,Biodiversity!AJ$25, IF('Biodiversity Assessment'!S26=16,Biodiversity!AJ$26, IF('Biodiversity Assessment'!S26=17,Biodiversity!AJ$27, IF('Biodiversity Assessment'!S26=18,Biodiversity!AJ$28, IF('Biodiversity Assessment'!S26=19,Biodiversity!AJ$29, IF('Biodiversity Assessment'!S26=20,Biodiversity!AJ$30, IF('Biodiversity Assessment'!S26=21,Biodiversity!AJ$31, IF('Biodiversity Assessment'!S26=22,Biodiversity!AJ$32, IF('Biodiversity Assessment'!S26=23,Biodiversity!AJ$33, IF('Biodiversity Assessment'!S26=24,Biodiversity!AJ$34, IF('Biodiversity Assessment'!S26=25,Biodiversity!AJ$35, IF('Biodiversity Assessment'!S26=26,Biodiversity!AJ$36, IF('Biodiversity Assessment'!S26=27,Biodiversity!AJ$37, IF('Biodiversity Assessment'!S26=28,Biodiversity!AJ$38, IF('Biodiversity Assessment'!S26=29,Biodiversity!AJ$39, IF('Biodiversity Assessment'!S26=30,Biodiversity!AJ$40, IF('Biodiversity Assessment'!S26="?","Artificial"))))))))))))))))))))))))))))))))</f>
        <v/>
      </c>
      <c r="BL26" s="164">
        <v>0</v>
      </c>
      <c r="BN26" s="164">
        <v>0</v>
      </c>
      <c r="BP26" s="375"/>
      <c r="BQ26" s="375"/>
      <c r="BR26" s="378" t="str">
        <f>Biodiversity!K19</f>
        <v>?</v>
      </c>
      <c r="BT26" s="378" t="str">
        <f>Biodiversity!L19</f>
        <v>?</v>
      </c>
      <c r="BV26" s="378" t="str">
        <f>Biodiversity!M19</f>
        <v>?</v>
      </c>
      <c r="BX26" s="378" t="str">
        <f>Biodiversity!N19</f>
        <v>?</v>
      </c>
      <c r="BZ26" s="378" t="str">
        <f>Biodiversity!O19</f>
        <v>?</v>
      </c>
      <c r="CB26" s="378" t="str">
        <f>Biodiversity!P19</f>
        <v>?</v>
      </c>
      <c r="CD26" s="378" t="str">
        <f>Biodiversity!R19</f>
        <v>?</v>
      </c>
      <c r="CF26" s="378" t="str">
        <f>Biodiversity!S19</f>
        <v>?</v>
      </c>
      <c r="CH26" s="378">
        <f>IF($BL$15=Data!$D$42,'Biodiversity Assessment'!BL26/100,IF($BL$15=Data!$D$43,'Biodiversity Assessment'!BL26/60,IF($BL$15=Data!$D$44,'Biodiversity Assessment'!BL26/50,"?")))</f>
        <v>0</v>
      </c>
      <c r="CJ26" s="378">
        <f>IF($BL$15=Data!$D$42,'Biodiversity Assessment'!BN26/100,IF($BL$15=Data!$D$43,'Biodiversity Assessment'!BN26/60,IF($BL$15=Data!$D$44,'Biodiversity Assessment'!BN26/50,"?")))</f>
        <v>0</v>
      </c>
      <c r="CN26" s="165">
        <f>'ESVD - Social Value of Bio'!G11</f>
        <v>0</v>
      </c>
      <c r="CO26" s="380"/>
      <c r="CP26" s="165" t="str">
        <f>IF('ESVD - Social Value of Bio'!H11=0," ",'ESVD - Social Value of Bio'!H11)</f>
        <v xml:space="preserve"> </v>
      </c>
      <c r="CQ26" s="380"/>
      <c r="CR26" s="376"/>
      <c r="CT26" s="165">
        <f>'ESVD - Social Value of Bio'!U11</f>
        <v>0</v>
      </c>
      <c r="CU26" s="380"/>
      <c r="CV26" s="165" t="str">
        <f>IF('ESVD - Social Value of Bio'!V11=0," ",'ESVD - Social Value of Bio'!V11)</f>
        <v xml:space="preserve"> </v>
      </c>
      <c r="CX26" s="374"/>
    </row>
    <row r="27" spans="1:102" s="188" customFormat="1" ht="16.5" customHeight="1" x14ac:dyDescent="0.3">
      <c r="A27" s="135"/>
      <c r="B27" s="419"/>
      <c r="C27" s="135"/>
      <c r="D27" s="135"/>
      <c r="E27" s="372" t="s">
        <v>217</v>
      </c>
      <c r="G27" s="421" t="s">
        <v>31</v>
      </c>
      <c r="H27" s="421"/>
      <c r="I27" s="421"/>
      <c r="J27" s="373" t="str">
        <f t="shared" si="2"/>
        <v/>
      </c>
      <c r="K27" s="370" t="s">
        <v>9</v>
      </c>
      <c r="M27" s="374">
        <v>0</v>
      </c>
      <c r="O27" s="421" t="s">
        <v>31</v>
      </c>
      <c r="P27" s="421"/>
      <c r="Q27" s="421"/>
      <c r="R27" s="373" t="str">
        <f t="shared" si="1"/>
        <v/>
      </c>
      <c r="S27" s="370" t="s">
        <v>9</v>
      </c>
      <c r="T27" s="373"/>
      <c r="U27" s="374">
        <v>0</v>
      </c>
      <c r="BD27" s="376">
        <v>0</v>
      </c>
      <c r="BE27" s="377"/>
      <c r="BF27" s="376">
        <v>0</v>
      </c>
      <c r="BH27" s="163" t="str">
        <f>IF(J27="","",IF(K27=1,Biodiversity!AG$11,IF('Biodiversity Assessment'!K27=2,Biodiversity!AG$12, IF('Biodiversity Assessment'!K27=3,Biodiversity!AG$13, IF('Biodiversity Assessment'!K27=4,Biodiversity!AG$14, IF('Biodiversity Assessment'!K27=5,Biodiversity!AG$15, IF('Biodiversity Assessment'!K27=6,Biodiversity!AG$16, IF('Biodiversity Assessment'!K27=7,Biodiversity!AG$17, IF('Biodiversity Assessment'!K27=8,Biodiversity!AG$18, IF('Biodiversity Assessment'!K27=9,Biodiversity!AG$19, IF('Biodiversity Assessment'!K27=10,Biodiversity!AG$20, IF('Biodiversity Assessment'!K27=11,Biodiversity!AG$21, IF('Biodiversity Assessment'!K27=12,Biodiversity!AG$22, IF('Biodiversity Assessment'!K27=13,Biodiversity!AG$23, IF('Biodiversity Assessment'!K27=14,Biodiversity!AG$24, IF('Biodiversity Assessment'!K27=15,Biodiversity!AG$25, IF('Biodiversity Assessment'!K27=16,Biodiversity!AG$26, IF('Biodiversity Assessment'!K27=17,Biodiversity!AG$27, IF('Biodiversity Assessment'!K27=18,Biodiversity!AG$28, IF('Biodiversity Assessment'!K27=19,Biodiversity!AG$29, IF('Biodiversity Assessment'!K27=20,Biodiversity!AG$30, IF('Biodiversity Assessment'!K27=21,Biodiversity!AG$31, IF('Biodiversity Assessment'!K27=22,Biodiversity!AG$32, IF('Biodiversity Assessment'!K27=23,Biodiversity!AG$33, IF('Biodiversity Assessment'!K27=24,Biodiversity!AG$34, IF('Biodiversity Assessment'!K27=25,Biodiversity!AG$35, IF('Biodiversity Assessment'!K27=26,Biodiversity!AG$36, IF('Biodiversity Assessment'!K27=27,Biodiversity!AG$37, IF('Biodiversity Assessment'!K27=28,Biodiversity!AG$38, IF('Biodiversity Assessment'!K27=29,Biodiversity!AG$39, IF('Biodiversity Assessment'!K27=30,Biodiversity!AG$40, IF('Biodiversity Assessment'!K27="?","Artificial"))))))))))))))))))))))))))))))))</f>
        <v/>
      </c>
      <c r="BJ27" s="163" t="str">
        <f>IF(R27="","",IF(S27=1,Biodiversity!AJ$11,IF('Biodiversity Assessment'!S27=2,Biodiversity!AJ$12, IF('Biodiversity Assessment'!S27=3,Biodiversity!AJ$13, IF('Biodiversity Assessment'!S27=4,Biodiversity!AJ$14, IF('Biodiversity Assessment'!S27=5,Biodiversity!AJ$15, IF('Biodiversity Assessment'!S27=6,Biodiversity!AJ$16, IF('Biodiversity Assessment'!S27=7,Biodiversity!AJ$17, IF('Biodiversity Assessment'!S27=8,Biodiversity!AJ$18, IF('Biodiversity Assessment'!S27=9,Biodiversity!AJ$19, IF('Biodiversity Assessment'!S27=10,Biodiversity!AJ$20, IF('Biodiversity Assessment'!S27=11,Biodiversity!AJ$21, IF('Biodiversity Assessment'!S27=12,Biodiversity!AJ$22, IF('Biodiversity Assessment'!S27=13,Biodiversity!AJ$23, IF('Biodiversity Assessment'!S27=14,Biodiversity!AJ$24, IF('Biodiversity Assessment'!S27=15,Biodiversity!AJ$25, IF('Biodiversity Assessment'!S27=16,Biodiversity!AJ$26, IF('Biodiversity Assessment'!S27=17,Biodiversity!AJ$27, IF('Biodiversity Assessment'!S27=18,Biodiversity!AJ$28, IF('Biodiversity Assessment'!S27=19,Biodiversity!AJ$29, IF('Biodiversity Assessment'!S27=20,Biodiversity!AJ$30, IF('Biodiversity Assessment'!S27=21,Biodiversity!AJ$31, IF('Biodiversity Assessment'!S27=22,Biodiversity!AJ$32, IF('Biodiversity Assessment'!S27=23,Biodiversity!AJ$33, IF('Biodiversity Assessment'!S27=24,Biodiversity!AJ$34, IF('Biodiversity Assessment'!S27=25,Biodiversity!AJ$35, IF('Biodiversity Assessment'!S27=26,Biodiversity!AJ$36, IF('Biodiversity Assessment'!S27=27,Biodiversity!AJ$37, IF('Biodiversity Assessment'!S27=28,Biodiversity!AJ$38, IF('Biodiversity Assessment'!S27=29,Biodiversity!AJ$39, IF('Biodiversity Assessment'!S27=30,Biodiversity!AJ$40, IF('Biodiversity Assessment'!S27="?","Artificial"))))))))))))))))))))))))))))))))</f>
        <v/>
      </c>
      <c r="BL27" s="164">
        <v>0</v>
      </c>
      <c r="BN27" s="164">
        <v>0</v>
      </c>
      <c r="BP27" s="375"/>
      <c r="BQ27" s="375"/>
      <c r="BR27" s="378" t="str">
        <f>Biodiversity!K20</f>
        <v>?</v>
      </c>
      <c r="BT27" s="378" t="str">
        <f>Biodiversity!L20</f>
        <v>?</v>
      </c>
      <c r="BV27" s="378" t="str">
        <f>Biodiversity!M20</f>
        <v>?</v>
      </c>
      <c r="BX27" s="378" t="str">
        <f>Biodiversity!N20</f>
        <v>?</v>
      </c>
      <c r="BZ27" s="378" t="str">
        <f>Biodiversity!O20</f>
        <v>?</v>
      </c>
      <c r="CB27" s="378" t="str">
        <f>Biodiversity!P20</f>
        <v>?</v>
      </c>
      <c r="CD27" s="378" t="str">
        <f>Biodiversity!R20</f>
        <v>?</v>
      </c>
      <c r="CF27" s="378" t="str">
        <f>Biodiversity!S20</f>
        <v>?</v>
      </c>
      <c r="CH27" s="378">
        <f>IF($BL$15=Data!$D$42,'Biodiversity Assessment'!BL27/100,IF($BL$15=Data!$D$43,'Biodiversity Assessment'!BL27/60,IF($BL$15=Data!$D$44,'Biodiversity Assessment'!BL27/50,"?")))</f>
        <v>0</v>
      </c>
      <c r="CJ27" s="378">
        <f>IF($BL$15=Data!$D$42,'Biodiversity Assessment'!BN27/100,IF($BL$15=Data!$D$43,'Biodiversity Assessment'!BN27/60,IF($BL$15=Data!$D$44,'Biodiversity Assessment'!BN27/50,"?")))</f>
        <v>0</v>
      </c>
      <c r="CN27" s="165">
        <f>'ESVD - Social Value of Bio'!G12</f>
        <v>0</v>
      </c>
      <c r="CO27" s="380"/>
      <c r="CP27" s="165" t="str">
        <f>IF('ESVD - Social Value of Bio'!H12=0," ",'ESVD - Social Value of Bio'!H12)</f>
        <v xml:space="preserve"> </v>
      </c>
      <c r="CQ27" s="380"/>
      <c r="CR27" s="376"/>
      <c r="CT27" s="165">
        <f>'ESVD - Social Value of Bio'!U12</f>
        <v>0</v>
      </c>
      <c r="CU27" s="380"/>
      <c r="CV27" s="165" t="str">
        <f>IF('ESVD - Social Value of Bio'!V12=0," ",'ESVD - Social Value of Bio'!V12)</f>
        <v xml:space="preserve"> </v>
      </c>
      <c r="CX27" s="374"/>
    </row>
    <row r="28" spans="1:102" s="188" customFormat="1" ht="16.5" customHeight="1" x14ac:dyDescent="0.3">
      <c r="A28" s="135"/>
      <c r="B28" s="419"/>
      <c r="C28" s="135"/>
      <c r="D28" s="135"/>
      <c r="E28" s="372" t="s">
        <v>218</v>
      </c>
      <c r="G28" s="421" t="s">
        <v>31</v>
      </c>
      <c r="H28" s="421"/>
      <c r="I28" s="421"/>
      <c r="J28" s="373" t="str">
        <f t="shared" si="2"/>
        <v/>
      </c>
      <c r="K28" s="370" t="s">
        <v>9</v>
      </c>
      <c r="M28" s="374">
        <v>0</v>
      </c>
      <c r="O28" s="421" t="s">
        <v>31</v>
      </c>
      <c r="P28" s="421"/>
      <c r="Q28" s="421"/>
      <c r="R28" s="373" t="str">
        <f t="shared" si="1"/>
        <v/>
      </c>
      <c r="S28" s="370" t="s">
        <v>9</v>
      </c>
      <c r="T28" s="373"/>
      <c r="U28" s="374">
        <v>0</v>
      </c>
      <c r="BD28" s="376">
        <v>0</v>
      </c>
      <c r="BE28" s="377"/>
      <c r="BF28" s="376">
        <v>0</v>
      </c>
      <c r="BH28" s="163" t="str">
        <f>IF(J28="","",IF(K28=1,Biodiversity!AG$11,IF('Biodiversity Assessment'!K28=2,Biodiversity!AG$12, IF('Biodiversity Assessment'!K28=3,Biodiversity!AG$13, IF('Biodiversity Assessment'!K28=4,Biodiversity!AG$14, IF('Biodiversity Assessment'!K28=5,Biodiversity!AG$15, IF('Biodiversity Assessment'!K28=6,Biodiversity!AG$16, IF('Biodiversity Assessment'!K28=7,Biodiversity!AG$17, IF('Biodiversity Assessment'!K28=8,Biodiversity!AG$18, IF('Biodiversity Assessment'!K28=9,Biodiversity!AG$19, IF('Biodiversity Assessment'!K28=10,Biodiversity!AG$20, IF('Biodiversity Assessment'!K28=11,Biodiversity!AG$21, IF('Biodiversity Assessment'!K28=12,Biodiversity!AG$22, IF('Biodiversity Assessment'!K28=13,Biodiversity!AG$23, IF('Biodiversity Assessment'!K28=14,Biodiversity!AG$24, IF('Biodiversity Assessment'!K28=15,Biodiversity!AG$25, IF('Biodiversity Assessment'!K28=16,Biodiversity!AG$26, IF('Biodiversity Assessment'!K28=17,Biodiversity!AG$27, IF('Biodiversity Assessment'!K28=18,Biodiversity!AG$28, IF('Biodiversity Assessment'!K28=19,Biodiversity!AG$29, IF('Biodiversity Assessment'!K28=20,Biodiversity!AG$30, IF('Biodiversity Assessment'!K28=21,Biodiversity!AG$31, IF('Biodiversity Assessment'!K28=22,Biodiversity!AG$32, IF('Biodiversity Assessment'!K28=23,Biodiversity!AG$33, IF('Biodiversity Assessment'!K28=24,Biodiversity!AG$34, IF('Biodiversity Assessment'!K28=25,Biodiversity!AG$35, IF('Biodiversity Assessment'!K28=26,Biodiversity!AG$36, IF('Biodiversity Assessment'!K28=27,Biodiversity!AG$37, IF('Biodiversity Assessment'!K28=28,Biodiversity!AG$38, IF('Biodiversity Assessment'!K28=29,Biodiversity!AG$39, IF('Biodiversity Assessment'!K28=30,Biodiversity!AG$40, IF('Biodiversity Assessment'!K28="?","Artificial"))))))))))))))))))))))))))))))))</f>
        <v/>
      </c>
      <c r="BJ28" s="163" t="str">
        <f>IF(R28="","",IF(S28=1,Biodiversity!AJ$11,IF('Biodiversity Assessment'!S28=2,Biodiversity!AJ$12, IF('Biodiversity Assessment'!S28=3,Biodiversity!AJ$13, IF('Biodiversity Assessment'!S28=4,Biodiversity!AJ$14, IF('Biodiversity Assessment'!S28=5,Biodiversity!AJ$15, IF('Biodiversity Assessment'!S28=6,Biodiversity!AJ$16, IF('Biodiversity Assessment'!S28=7,Biodiversity!AJ$17, IF('Biodiversity Assessment'!S28=8,Biodiversity!AJ$18, IF('Biodiversity Assessment'!S28=9,Biodiversity!AJ$19, IF('Biodiversity Assessment'!S28=10,Biodiversity!AJ$20, IF('Biodiversity Assessment'!S28=11,Biodiversity!AJ$21, IF('Biodiversity Assessment'!S28=12,Biodiversity!AJ$22, IF('Biodiversity Assessment'!S28=13,Biodiversity!AJ$23, IF('Biodiversity Assessment'!S28=14,Biodiversity!AJ$24, IF('Biodiversity Assessment'!S28=15,Biodiversity!AJ$25, IF('Biodiversity Assessment'!S28=16,Biodiversity!AJ$26, IF('Biodiversity Assessment'!S28=17,Biodiversity!AJ$27, IF('Biodiversity Assessment'!S28=18,Biodiversity!AJ$28, IF('Biodiversity Assessment'!S28=19,Biodiversity!AJ$29, IF('Biodiversity Assessment'!S28=20,Biodiversity!AJ$30, IF('Biodiversity Assessment'!S28=21,Biodiversity!AJ$31, IF('Biodiversity Assessment'!S28=22,Biodiversity!AJ$32, IF('Biodiversity Assessment'!S28=23,Biodiversity!AJ$33, IF('Biodiversity Assessment'!S28=24,Biodiversity!AJ$34, IF('Biodiversity Assessment'!S28=25,Biodiversity!AJ$35, IF('Biodiversity Assessment'!S28=26,Biodiversity!AJ$36, IF('Biodiversity Assessment'!S28=27,Biodiversity!AJ$37, IF('Biodiversity Assessment'!S28=28,Biodiversity!AJ$38, IF('Biodiversity Assessment'!S28=29,Biodiversity!AJ$39, IF('Biodiversity Assessment'!S28=30,Biodiversity!AJ$40, IF('Biodiversity Assessment'!S28="?","Artificial"))))))))))))))))))))))))))))))))</f>
        <v/>
      </c>
      <c r="BL28" s="164">
        <v>0</v>
      </c>
      <c r="BN28" s="164">
        <v>0</v>
      </c>
      <c r="BP28" s="375"/>
      <c r="BQ28" s="375"/>
      <c r="BR28" s="378" t="str">
        <f>Biodiversity!K21</f>
        <v>?</v>
      </c>
      <c r="BT28" s="378" t="str">
        <f>Biodiversity!L21</f>
        <v>?</v>
      </c>
      <c r="BV28" s="378" t="str">
        <f>Biodiversity!M21</f>
        <v>?</v>
      </c>
      <c r="BX28" s="378" t="str">
        <f>Biodiversity!N21</f>
        <v>?</v>
      </c>
      <c r="BZ28" s="378" t="str">
        <f>Biodiversity!O21</f>
        <v>?</v>
      </c>
      <c r="CB28" s="378" t="str">
        <f>Biodiversity!P21</f>
        <v>?</v>
      </c>
      <c r="CD28" s="378" t="str">
        <f>Biodiversity!R21</f>
        <v>?</v>
      </c>
      <c r="CF28" s="378" t="str">
        <f>Biodiversity!S21</f>
        <v>?</v>
      </c>
      <c r="CH28" s="378">
        <f>IF($BL$15=Data!$D$42,'Biodiversity Assessment'!BL28/100,IF($BL$15=Data!$D$43,'Biodiversity Assessment'!BL28/60,IF($BL$15=Data!$D$44,'Biodiversity Assessment'!BL28/50,"?")))</f>
        <v>0</v>
      </c>
      <c r="CJ28" s="378">
        <f>IF($BL$15=Data!$D$42,'Biodiversity Assessment'!BN28/100,IF($BL$15=Data!$D$43,'Biodiversity Assessment'!BN28/60,IF($BL$15=Data!$D$44,'Biodiversity Assessment'!BN28/50,"?")))</f>
        <v>0</v>
      </c>
      <c r="CN28" s="165">
        <f>'ESVD - Social Value of Bio'!G13</f>
        <v>0</v>
      </c>
      <c r="CO28" s="380"/>
      <c r="CP28" s="165" t="str">
        <f>IF('ESVD - Social Value of Bio'!H13=0," ",'ESVD - Social Value of Bio'!H13)</f>
        <v xml:space="preserve"> </v>
      </c>
      <c r="CQ28" s="380"/>
      <c r="CR28" s="376"/>
      <c r="CT28" s="165">
        <f>'ESVD - Social Value of Bio'!U13</f>
        <v>0</v>
      </c>
      <c r="CU28" s="380"/>
      <c r="CV28" s="165" t="str">
        <f>IF('ESVD - Social Value of Bio'!V13=0," ",'ESVD - Social Value of Bio'!V13)</f>
        <v xml:space="preserve"> </v>
      </c>
      <c r="CX28" s="374"/>
    </row>
    <row r="29" spans="1:102" s="188" customFormat="1" ht="16.5" customHeight="1" x14ac:dyDescent="0.3">
      <c r="A29" s="135"/>
      <c r="B29" s="419"/>
      <c r="C29" s="135"/>
      <c r="D29" s="135"/>
      <c r="E29" s="372" t="s">
        <v>219</v>
      </c>
      <c r="G29" s="421" t="s">
        <v>31</v>
      </c>
      <c r="H29" s="421"/>
      <c r="I29" s="421"/>
      <c r="J29" s="373" t="str">
        <f t="shared" si="2"/>
        <v/>
      </c>
      <c r="K29" s="370" t="s">
        <v>9</v>
      </c>
      <c r="M29" s="374">
        <v>0</v>
      </c>
      <c r="O29" s="421" t="s">
        <v>31</v>
      </c>
      <c r="P29" s="421"/>
      <c r="Q29" s="421"/>
      <c r="R29" s="373" t="str">
        <f t="shared" si="1"/>
        <v/>
      </c>
      <c r="S29" s="370" t="s">
        <v>9</v>
      </c>
      <c r="T29" s="373"/>
      <c r="U29" s="374">
        <v>0</v>
      </c>
      <c r="BD29" s="376">
        <v>0</v>
      </c>
      <c r="BE29" s="377"/>
      <c r="BF29" s="376">
        <v>0</v>
      </c>
      <c r="BH29" s="163" t="str">
        <f>IF(J29="","",IF(K29=1,Biodiversity!AG$11,IF('Biodiversity Assessment'!K29=2,Biodiversity!AG$12, IF('Biodiversity Assessment'!K29=3,Biodiversity!AG$13, IF('Biodiversity Assessment'!K29=4,Biodiversity!AG$14, IF('Biodiversity Assessment'!K29=5,Biodiversity!AG$15, IF('Biodiversity Assessment'!K29=6,Biodiversity!AG$16, IF('Biodiversity Assessment'!K29=7,Biodiversity!AG$17, IF('Biodiversity Assessment'!K29=8,Biodiversity!AG$18, IF('Biodiversity Assessment'!K29=9,Biodiversity!AG$19, IF('Biodiversity Assessment'!K29=10,Biodiversity!AG$20, IF('Biodiversity Assessment'!K29=11,Biodiversity!AG$21, IF('Biodiversity Assessment'!K29=12,Biodiversity!AG$22, IF('Biodiversity Assessment'!K29=13,Biodiversity!AG$23, IF('Biodiversity Assessment'!K29=14,Biodiversity!AG$24, IF('Biodiversity Assessment'!K29=15,Biodiversity!AG$25, IF('Biodiversity Assessment'!K29=16,Biodiversity!AG$26, IF('Biodiversity Assessment'!K29=17,Biodiversity!AG$27, IF('Biodiversity Assessment'!K29=18,Biodiversity!AG$28, IF('Biodiversity Assessment'!K29=19,Biodiversity!AG$29, IF('Biodiversity Assessment'!K29=20,Biodiversity!AG$30, IF('Biodiversity Assessment'!K29=21,Biodiversity!AG$31, IF('Biodiversity Assessment'!K29=22,Biodiversity!AG$32, IF('Biodiversity Assessment'!K29=23,Biodiversity!AG$33, IF('Biodiversity Assessment'!K29=24,Biodiversity!AG$34, IF('Biodiversity Assessment'!K29=25,Biodiversity!AG$35, IF('Biodiversity Assessment'!K29=26,Biodiversity!AG$36, IF('Biodiversity Assessment'!K29=27,Biodiversity!AG$37, IF('Biodiversity Assessment'!K29=28,Biodiversity!AG$38, IF('Biodiversity Assessment'!K29=29,Biodiversity!AG$39, IF('Biodiversity Assessment'!K29=30,Biodiversity!AG$40, IF('Biodiversity Assessment'!K29="?","Artificial"))))))))))))))))))))))))))))))))</f>
        <v/>
      </c>
      <c r="BJ29" s="163" t="str">
        <f>IF(R29="","",IF(S29=1,Biodiversity!AJ$11,IF('Biodiversity Assessment'!S29=2,Biodiversity!AJ$12, IF('Biodiversity Assessment'!S29=3,Biodiversity!AJ$13, IF('Biodiversity Assessment'!S29=4,Biodiversity!AJ$14, IF('Biodiversity Assessment'!S29=5,Biodiversity!AJ$15, IF('Biodiversity Assessment'!S29=6,Biodiversity!AJ$16, IF('Biodiversity Assessment'!S29=7,Biodiversity!AJ$17, IF('Biodiversity Assessment'!S29=8,Biodiversity!AJ$18, IF('Biodiversity Assessment'!S29=9,Biodiversity!AJ$19, IF('Biodiversity Assessment'!S29=10,Biodiversity!AJ$20, IF('Biodiversity Assessment'!S29=11,Biodiversity!AJ$21, IF('Biodiversity Assessment'!S29=12,Biodiversity!AJ$22, IF('Biodiversity Assessment'!S29=13,Biodiversity!AJ$23, IF('Biodiversity Assessment'!S29=14,Biodiversity!AJ$24, IF('Biodiversity Assessment'!S29=15,Biodiversity!AJ$25, IF('Biodiversity Assessment'!S29=16,Biodiversity!AJ$26, IF('Biodiversity Assessment'!S29=17,Biodiversity!AJ$27, IF('Biodiversity Assessment'!S29=18,Biodiversity!AJ$28, IF('Biodiversity Assessment'!S29=19,Biodiversity!AJ$29, IF('Biodiversity Assessment'!S29=20,Biodiversity!AJ$30, IF('Biodiversity Assessment'!S29=21,Biodiversity!AJ$31, IF('Biodiversity Assessment'!S29=22,Biodiversity!AJ$32, IF('Biodiversity Assessment'!S29=23,Biodiversity!AJ$33, IF('Biodiversity Assessment'!S29=24,Biodiversity!AJ$34, IF('Biodiversity Assessment'!S29=25,Biodiversity!AJ$35, IF('Biodiversity Assessment'!S29=26,Biodiversity!AJ$36, IF('Biodiversity Assessment'!S29=27,Biodiversity!AJ$37, IF('Biodiversity Assessment'!S29=28,Biodiversity!AJ$38, IF('Biodiversity Assessment'!S29=29,Biodiversity!AJ$39, IF('Biodiversity Assessment'!S29=30,Biodiversity!AJ$40, IF('Biodiversity Assessment'!S29="?","Artificial"))))))))))))))))))))))))))))))))</f>
        <v/>
      </c>
      <c r="BL29" s="164">
        <v>0</v>
      </c>
      <c r="BN29" s="164">
        <v>0</v>
      </c>
      <c r="BP29" s="375"/>
      <c r="BQ29" s="375"/>
      <c r="BR29" s="378" t="str">
        <f>Biodiversity!K22</f>
        <v>?</v>
      </c>
      <c r="BT29" s="378" t="str">
        <f>Biodiversity!L22</f>
        <v>?</v>
      </c>
      <c r="BV29" s="378" t="str">
        <f>Biodiversity!M22</f>
        <v>?</v>
      </c>
      <c r="BX29" s="378" t="str">
        <f>Biodiversity!N22</f>
        <v>?</v>
      </c>
      <c r="BZ29" s="378" t="str">
        <f>Biodiversity!O22</f>
        <v>?</v>
      </c>
      <c r="CB29" s="378" t="str">
        <f>Biodiversity!P22</f>
        <v>?</v>
      </c>
      <c r="CD29" s="378" t="str">
        <f>Biodiversity!R22</f>
        <v>?</v>
      </c>
      <c r="CF29" s="378" t="str">
        <f>Biodiversity!S22</f>
        <v>?</v>
      </c>
      <c r="CH29" s="378">
        <f>IF($BL$15=Data!$D$42,'Biodiversity Assessment'!BL29/100,IF($BL$15=Data!$D$43,'Biodiversity Assessment'!BL29/60,IF($BL$15=Data!$D$44,'Biodiversity Assessment'!BL29/50,"?")))</f>
        <v>0</v>
      </c>
      <c r="CJ29" s="378">
        <f>IF($BL$15=Data!$D$42,'Biodiversity Assessment'!BN29/100,IF($BL$15=Data!$D$43,'Biodiversity Assessment'!BN29/60,IF($BL$15=Data!$D$44,'Biodiversity Assessment'!BN29/50,"?")))</f>
        <v>0</v>
      </c>
      <c r="CN29" s="165">
        <f>'ESVD - Social Value of Bio'!G14</f>
        <v>0</v>
      </c>
      <c r="CO29" s="380"/>
      <c r="CP29" s="165" t="str">
        <f>IF('ESVD - Social Value of Bio'!H14=0," ",'ESVD - Social Value of Bio'!H14)</f>
        <v xml:space="preserve"> </v>
      </c>
      <c r="CQ29" s="380"/>
      <c r="CR29" s="376"/>
      <c r="CT29" s="165">
        <f>'ESVD - Social Value of Bio'!U14</f>
        <v>0</v>
      </c>
      <c r="CU29" s="380"/>
      <c r="CV29" s="165" t="str">
        <f>IF('ESVD - Social Value of Bio'!V14=0," ",'ESVD - Social Value of Bio'!V14)</f>
        <v xml:space="preserve"> </v>
      </c>
      <c r="CX29" s="374"/>
    </row>
    <row r="30" spans="1:102" s="188" customFormat="1" ht="16.5" customHeight="1" x14ac:dyDescent="0.3">
      <c r="A30" s="135"/>
      <c r="B30" s="419"/>
      <c r="C30" s="135"/>
      <c r="D30" s="135"/>
      <c r="E30" s="372" t="s">
        <v>220</v>
      </c>
      <c r="G30" s="421" t="s">
        <v>31</v>
      </c>
      <c r="H30" s="421"/>
      <c r="I30" s="421"/>
      <c r="J30" s="373" t="str">
        <f t="shared" si="2"/>
        <v/>
      </c>
      <c r="K30" s="370" t="s">
        <v>9</v>
      </c>
      <c r="M30" s="374">
        <v>0</v>
      </c>
      <c r="O30" s="421" t="s">
        <v>31</v>
      </c>
      <c r="P30" s="421"/>
      <c r="Q30" s="421"/>
      <c r="R30" s="373" t="str">
        <f t="shared" si="1"/>
        <v/>
      </c>
      <c r="S30" s="370" t="s">
        <v>9</v>
      </c>
      <c r="T30" s="373"/>
      <c r="U30" s="374">
        <v>0</v>
      </c>
      <c r="BD30" s="376">
        <v>0</v>
      </c>
      <c r="BE30" s="377"/>
      <c r="BF30" s="376">
        <v>0</v>
      </c>
      <c r="BH30" s="163" t="str">
        <f>IF(J30="","",IF(K30=1,Biodiversity!AG$11,IF('Biodiversity Assessment'!K30=2,Biodiversity!AG$12, IF('Biodiversity Assessment'!K30=3,Biodiversity!AG$13, IF('Biodiversity Assessment'!K30=4,Biodiversity!AG$14, IF('Biodiversity Assessment'!K30=5,Biodiversity!AG$15, IF('Biodiversity Assessment'!K30=6,Biodiversity!AG$16, IF('Biodiversity Assessment'!K30=7,Biodiversity!AG$17, IF('Biodiversity Assessment'!K30=8,Biodiversity!AG$18, IF('Biodiversity Assessment'!K30=9,Biodiversity!AG$19, IF('Biodiversity Assessment'!K30=10,Biodiversity!AG$20, IF('Biodiversity Assessment'!K30=11,Biodiversity!AG$21, IF('Biodiversity Assessment'!K30=12,Biodiversity!AG$22, IF('Biodiversity Assessment'!K30=13,Biodiversity!AG$23, IF('Biodiversity Assessment'!K30=14,Biodiversity!AG$24, IF('Biodiversity Assessment'!K30=15,Biodiversity!AG$25, IF('Biodiversity Assessment'!K30=16,Biodiversity!AG$26, IF('Biodiversity Assessment'!K30=17,Biodiversity!AG$27, IF('Biodiversity Assessment'!K30=18,Biodiversity!AG$28, IF('Biodiversity Assessment'!K30=19,Biodiversity!AG$29, IF('Biodiversity Assessment'!K30=20,Biodiversity!AG$30, IF('Biodiversity Assessment'!K30=21,Biodiversity!AG$31, IF('Biodiversity Assessment'!K30=22,Biodiversity!AG$32, IF('Biodiversity Assessment'!K30=23,Biodiversity!AG$33, IF('Biodiversity Assessment'!K30=24,Biodiversity!AG$34, IF('Biodiversity Assessment'!K30=25,Biodiversity!AG$35, IF('Biodiversity Assessment'!K30=26,Biodiversity!AG$36, IF('Biodiversity Assessment'!K30=27,Biodiversity!AG$37, IF('Biodiversity Assessment'!K30=28,Biodiversity!AG$38, IF('Biodiversity Assessment'!K30=29,Biodiversity!AG$39, IF('Biodiversity Assessment'!K30=30,Biodiversity!AG$40, IF('Biodiversity Assessment'!K30="?","Artificial"))))))))))))))))))))))))))))))))</f>
        <v/>
      </c>
      <c r="BJ30" s="163" t="str">
        <f>IF(R30="","",IF(S30=1,Biodiversity!AJ$11,IF('Biodiversity Assessment'!S30=2,Biodiversity!AJ$12, IF('Biodiversity Assessment'!S30=3,Biodiversity!AJ$13, IF('Biodiversity Assessment'!S30=4,Biodiversity!AJ$14, IF('Biodiversity Assessment'!S30=5,Biodiversity!AJ$15, IF('Biodiversity Assessment'!S30=6,Biodiversity!AJ$16, IF('Biodiversity Assessment'!S30=7,Biodiversity!AJ$17, IF('Biodiversity Assessment'!S30=8,Biodiversity!AJ$18, IF('Biodiversity Assessment'!S30=9,Biodiversity!AJ$19, IF('Biodiversity Assessment'!S30=10,Biodiversity!AJ$20, IF('Biodiversity Assessment'!S30=11,Biodiversity!AJ$21, IF('Biodiversity Assessment'!S30=12,Biodiversity!AJ$22, IF('Biodiversity Assessment'!S30=13,Biodiversity!AJ$23, IF('Biodiversity Assessment'!S30=14,Biodiversity!AJ$24, IF('Biodiversity Assessment'!S30=15,Biodiversity!AJ$25, IF('Biodiversity Assessment'!S30=16,Biodiversity!AJ$26, IF('Biodiversity Assessment'!S30=17,Biodiversity!AJ$27, IF('Biodiversity Assessment'!S30=18,Biodiversity!AJ$28, IF('Biodiversity Assessment'!S30=19,Biodiversity!AJ$29, IF('Biodiversity Assessment'!S30=20,Biodiversity!AJ$30, IF('Biodiversity Assessment'!S30=21,Biodiversity!AJ$31, IF('Biodiversity Assessment'!S30=22,Biodiversity!AJ$32, IF('Biodiversity Assessment'!S30=23,Biodiversity!AJ$33, IF('Biodiversity Assessment'!S30=24,Biodiversity!AJ$34, IF('Biodiversity Assessment'!S30=25,Biodiversity!AJ$35, IF('Biodiversity Assessment'!S30=26,Biodiversity!AJ$36, IF('Biodiversity Assessment'!S30=27,Biodiversity!AJ$37, IF('Biodiversity Assessment'!S30=28,Biodiversity!AJ$38, IF('Biodiversity Assessment'!S30=29,Biodiversity!AJ$39, IF('Biodiversity Assessment'!S30=30,Biodiversity!AJ$40, IF('Biodiversity Assessment'!S30="?","Artificial"))))))))))))))))))))))))))))))))</f>
        <v/>
      </c>
      <c r="BL30" s="164">
        <v>0</v>
      </c>
      <c r="BN30" s="164">
        <v>0</v>
      </c>
      <c r="BP30" s="375"/>
      <c r="BQ30" s="375"/>
      <c r="BR30" s="378" t="str">
        <f>Biodiversity!K23</f>
        <v>?</v>
      </c>
      <c r="BT30" s="378" t="str">
        <f>Biodiversity!L23</f>
        <v>?</v>
      </c>
      <c r="BV30" s="378" t="str">
        <f>Biodiversity!M23</f>
        <v>?</v>
      </c>
      <c r="BX30" s="378" t="str">
        <f>Biodiversity!N23</f>
        <v>?</v>
      </c>
      <c r="BZ30" s="378" t="str">
        <f>Biodiversity!O23</f>
        <v>?</v>
      </c>
      <c r="CB30" s="378" t="str">
        <f>Biodiversity!P23</f>
        <v>?</v>
      </c>
      <c r="CD30" s="378" t="str">
        <f>Biodiversity!R23</f>
        <v>?</v>
      </c>
      <c r="CF30" s="378" t="str">
        <f>Biodiversity!S23</f>
        <v>?</v>
      </c>
      <c r="CH30" s="378">
        <f>IF($BL$15=Data!$D$42,'Biodiversity Assessment'!BL30/100,IF($BL$15=Data!$D$43,'Biodiversity Assessment'!BL30/60,IF($BL$15=Data!$D$44,'Biodiversity Assessment'!BL30/50,"?")))</f>
        <v>0</v>
      </c>
      <c r="CJ30" s="378">
        <f>IF($BL$15=Data!$D$42,'Biodiversity Assessment'!BN30/100,IF($BL$15=Data!$D$43,'Biodiversity Assessment'!BN30/60,IF($BL$15=Data!$D$44,'Biodiversity Assessment'!BN30/50,"?")))</f>
        <v>0</v>
      </c>
      <c r="CN30" s="165">
        <f>'ESVD - Social Value of Bio'!G15</f>
        <v>0</v>
      </c>
      <c r="CO30" s="380"/>
      <c r="CP30" s="165" t="str">
        <f>IF('ESVD - Social Value of Bio'!H15=0," ",'ESVD - Social Value of Bio'!H15)</f>
        <v xml:space="preserve"> </v>
      </c>
      <c r="CQ30" s="380"/>
      <c r="CR30" s="376"/>
      <c r="CT30" s="165">
        <f>'ESVD - Social Value of Bio'!U15</f>
        <v>0</v>
      </c>
      <c r="CU30" s="380"/>
      <c r="CV30" s="165" t="str">
        <f>IF('ESVD - Social Value of Bio'!V15=0," ",'ESVD - Social Value of Bio'!V15)</f>
        <v xml:space="preserve"> </v>
      </c>
      <c r="CX30" s="374"/>
    </row>
    <row r="31" spans="1:102" s="188" customFormat="1" ht="16.5" customHeight="1" x14ac:dyDescent="0.3">
      <c r="A31" s="135"/>
      <c r="B31" s="419"/>
      <c r="C31" s="135"/>
      <c r="D31" s="135"/>
      <c r="E31" s="372" t="s">
        <v>221</v>
      </c>
      <c r="G31" s="421" t="s">
        <v>31</v>
      </c>
      <c r="H31" s="421"/>
      <c r="I31" s="421"/>
      <c r="J31" s="373" t="str">
        <f t="shared" si="2"/>
        <v/>
      </c>
      <c r="K31" s="370" t="s">
        <v>9</v>
      </c>
      <c r="M31" s="374">
        <v>0</v>
      </c>
      <c r="O31" s="421" t="s">
        <v>31</v>
      </c>
      <c r="P31" s="421"/>
      <c r="Q31" s="421"/>
      <c r="R31" s="373" t="str">
        <f t="shared" si="1"/>
        <v/>
      </c>
      <c r="S31" s="370" t="s">
        <v>9</v>
      </c>
      <c r="T31" s="373"/>
      <c r="U31" s="374">
        <v>0</v>
      </c>
      <c r="BD31" s="376">
        <v>0</v>
      </c>
      <c r="BE31" s="377"/>
      <c r="BF31" s="376">
        <v>0</v>
      </c>
      <c r="BH31" s="163" t="str">
        <f>IF(J31="","",IF(K31=1,Biodiversity!AG$11,IF('Biodiversity Assessment'!K31=2,Biodiversity!AG$12, IF('Biodiversity Assessment'!K31=3,Biodiversity!AG$13, IF('Biodiversity Assessment'!K31=4,Biodiversity!AG$14, IF('Biodiversity Assessment'!K31=5,Biodiversity!AG$15, IF('Biodiversity Assessment'!K31=6,Biodiversity!AG$16, IF('Biodiversity Assessment'!K31=7,Biodiversity!AG$17, IF('Biodiversity Assessment'!K31=8,Biodiversity!AG$18, IF('Biodiversity Assessment'!K31=9,Biodiversity!AG$19, IF('Biodiversity Assessment'!K31=10,Biodiversity!AG$20, IF('Biodiversity Assessment'!K31=11,Biodiversity!AG$21, IF('Biodiversity Assessment'!K31=12,Biodiversity!AG$22, IF('Biodiversity Assessment'!K31=13,Biodiversity!AG$23, IF('Biodiversity Assessment'!K31=14,Biodiversity!AG$24, IF('Biodiversity Assessment'!K31=15,Biodiversity!AG$25, IF('Biodiversity Assessment'!K31=16,Biodiversity!AG$26, IF('Biodiversity Assessment'!K31=17,Biodiversity!AG$27, IF('Biodiversity Assessment'!K31=18,Biodiversity!AG$28, IF('Biodiversity Assessment'!K31=19,Biodiversity!AG$29, IF('Biodiversity Assessment'!K31=20,Biodiversity!AG$30, IF('Biodiversity Assessment'!K31=21,Biodiversity!AG$31, IF('Biodiversity Assessment'!K31=22,Biodiversity!AG$32, IF('Biodiversity Assessment'!K31=23,Biodiversity!AG$33, IF('Biodiversity Assessment'!K31=24,Biodiversity!AG$34, IF('Biodiversity Assessment'!K31=25,Biodiversity!AG$35, IF('Biodiversity Assessment'!K31=26,Biodiversity!AG$36, IF('Biodiversity Assessment'!K31=27,Biodiversity!AG$37, IF('Biodiversity Assessment'!K31=28,Biodiversity!AG$38, IF('Biodiversity Assessment'!K31=29,Biodiversity!AG$39, IF('Biodiversity Assessment'!K31=30,Biodiversity!AG$40, IF('Biodiversity Assessment'!K31="?","Artificial"))))))))))))))))))))))))))))))))</f>
        <v/>
      </c>
      <c r="BJ31" s="163" t="str">
        <f>IF(R31="","",IF(S31=1,Biodiversity!AJ$11,IF('Biodiversity Assessment'!S31=2,Biodiversity!AJ$12, IF('Biodiversity Assessment'!S31=3,Biodiversity!AJ$13, IF('Biodiversity Assessment'!S31=4,Biodiversity!AJ$14, IF('Biodiversity Assessment'!S31=5,Biodiversity!AJ$15, IF('Biodiversity Assessment'!S31=6,Biodiversity!AJ$16, IF('Biodiversity Assessment'!S31=7,Biodiversity!AJ$17, IF('Biodiversity Assessment'!S31=8,Biodiversity!AJ$18, IF('Biodiversity Assessment'!S31=9,Biodiversity!AJ$19, IF('Biodiversity Assessment'!S31=10,Biodiversity!AJ$20, IF('Biodiversity Assessment'!S31=11,Biodiversity!AJ$21, IF('Biodiversity Assessment'!S31=12,Biodiversity!AJ$22, IF('Biodiversity Assessment'!S31=13,Biodiversity!AJ$23, IF('Biodiversity Assessment'!S31=14,Biodiversity!AJ$24, IF('Biodiversity Assessment'!S31=15,Biodiversity!AJ$25, IF('Biodiversity Assessment'!S31=16,Biodiversity!AJ$26, IF('Biodiversity Assessment'!S31=17,Biodiversity!AJ$27, IF('Biodiversity Assessment'!S31=18,Biodiversity!AJ$28, IF('Biodiversity Assessment'!S31=19,Biodiversity!AJ$29, IF('Biodiversity Assessment'!S31=20,Biodiversity!AJ$30, IF('Biodiversity Assessment'!S31=21,Biodiversity!AJ$31, IF('Biodiversity Assessment'!S31=22,Biodiversity!AJ$32, IF('Biodiversity Assessment'!S31=23,Biodiversity!AJ$33, IF('Biodiversity Assessment'!S31=24,Biodiversity!AJ$34, IF('Biodiversity Assessment'!S31=25,Biodiversity!AJ$35, IF('Biodiversity Assessment'!S31=26,Biodiversity!AJ$36, IF('Biodiversity Assessment'!S31=27,Biodiversity!AJ$37, IF('Biodiversity Assessment'!S31=28,Biodiversity!AJ$38, IF('Biodiversity Assessment'!S31=29,Biodiversity!AJ$39, IF('Biodiversity Assessment'!S31=30,Biodiversity!AJ$40, IF('Biodiversity Assessment'!S31="?","Artificial"))))))))))))))))))))))))))))))))</f>
        <v/>
      </c>
      <c r="BL31" s="164">
        <v>0</v>
      </c>
      <c r="BN31" s="164">
        <v>0</v>
      </c>
      <c r="BP31" s="375"/>
      <c r="BQ31" s="375"/>
      <c r="BR31" s="378" t="str">
        <f>Biodiversity!K24</f>
        <v>?</v>
      </c>
      <c r="BT31" s="378" t="str">
        <f>Biodiversity!L24</f>
        <v>?</v>
      </c>
      <c r="BV31" s="378" t="str">
        <f>Biodiversity!M24</f>
        <v>?</v>
      </c>
      <c r="BX31" s="378" t="str">
        <f>Biodiversity!N24</f>
        <v>?</v>
      </c>
      <c r="BZ31" s="378" t="str">
        <f>Biodiversity!O24</f>
        <v>?</v>
      </c>
      <c r="CB31" s="378" t="str">
        <f>Biodiversity!P24</f>
        <v>?</v>
      </c>
      <c r="CD31" s="378" t="str">
        <f>Biodiversity!R24</f>
        <v>?</v>
      </c>
      <c r="CF31" s="378" t="str">
        <f>Biodiversity!S24</f>
        <v>?</v>
      </c>
      <c r="CH31" s="378">
        <f>IF($BL$15=Data!$D$42,'Biodiversity Assessment'!BL31/100,IF($BL$15=Data!$D$43,'Biodiversity Assessment'!BL31/60,IF($BL$15=Data!$D$44,'Biodiversity Assessment'!BL31/50,"?")))</f>
        <v>0</v>
      </c>
      <c r="CJ31" s="378">
        <f>IF($BL$15=Data!$D$42,'Biodiversity Assessment'!BN31/100,IF($BL$15=Data!$D$43,'Biodiversity Assessment'!BN31/60,IF($BL$15=Data!$D$44,'Biodiversity Assessment'!BN31/50,"?")))</f>
        <v>0</v>
      </c>
      <c r="CN31" s="165">
        <f>'ESVD - Social Value of Bio'!G16</f>
        <v>0</v>
      </c>
      <c r="CO31" s="380"/>
      <c r="CP31" s="165" t="str">
        <f>IF('ESVD - Social Value of Bio'!H16=0," ",'ESVD - Social Value of Bio'!H16)</f>
        <v xml:space="preserve"> </v>
      </c>
      <c r="CQ31" s="380"/>
      <c r="CR31" s="376"/>
      <c r="CT31" s="165">
        <f>'ESVD - Social Value of Bio'!U16</f>
        <v>0</v>
      </c>
      <c r="CU31" s="380"/>
      <c r="CV31" s="165" t="str">
        <f>IF('ESVD - Social Value of Bio'!V16=0," ",'ESVD - Social Value of Bio'!V16)</f>
        <v xml:space="preserve"> </v>
      </c>
      <c r="CX31" s="374"/>
    </row>
    <row r="32" spans="1:102" s="188" customFormat="1" ht="16.5" customHeight="1" x14ac:dyDescent="0.3">
      <c r="A32" s="135"/>
      <c r="B32" s="419"/>
      <c r="C32" s="135"/>
      <c r="D32" s="135"/>
      <c r="E32" s="372" t="s">
        <v>222</v>
      </c>
      <c r="G32" s="421" t="s">
        <v>31</v>
      </c>
      <c r="H32" s="421"/>
      <c r="I32" s="421"/>
      <c r="J32" s="373" t="str">
        <f t="shared" si="2"/>
        <v/>
      </c>
      <c r="K32" s="370" t="s">
        <v>9</v>
      </c>
      <c r="M32" s="374">
        <v>0</v>
      </c>
      <c r="O32" s="421" t="s">
        <v>31</v>
      </c>
      <c r="P32" s="421"/>
      <c r="Q32" s="421"/>
      <c r="R32" s="373" t="str">
        <f t="shared" si="1"/>
        <v/>
      </c>
      <c r="S32" s="370" t="s">
        <v>9</v>
      </c>
      <c r="T32" s="373"/>
      <c r="U32" s="374">
        <v>0</v>
      </c>
      <c r="BD32" s="376">
        <v>0</v>
      </c>
      <c r="BE32" s="377"/>
      <c r="BF32" s="376">
        <v>0</v>
      </c>
      <c r="BH32" s="163" t="str">
        <f>IF(J32="","",IF(K32=1,Biodiversity!AG$11,IF('Biodiversity Assessment'!K32=2,Biodiversity!AG$12, IF('Biodiversity Assessment'!K32=3,Biodiversity!AG$13, IF('Biodiversity Assessment'!K32=4,Biodiversity!AG$14, IF('Biodiversity Assessment'!K32=5,Biodiversity!AG$15, IF('Biodiversity Assessment'!K32=6,Biodiversity!AG$16, IF('Biodiversity Assessment'!K32=7,Biodiversity!AG$17, IF('Biodiversity Assessment'!K32=8,Biodiversity!AG$18, IF('Biodiversity Assessment'!K32=9,Biodiversity!AG$19, IF('Biodiversity Assessment'!K32=10,Biodiversity!AG$20, IF('Biodiversity Assessment'!K32=11,Biodiversity!AG$21, IF('Biodiversity Assessment'!K32=12,Biodiversity!AG$22, IF('Biodiversity Assessment'!K32=13,Biodiversity!AG$23, IF('Biodiversity Assessment'!K32=14,Biodiversity!AG$24, IF('Biodiversity Assessment'!K32=15,Biodiversity!AG$25, IF('Biodiversity Assessment'!K32=16,Biodiversity!AG$26, IF('Biodiversity Assessment'!K32=17,Biodiversity!AG$27, IF('Biodiversity Assessment'!K32=18,Biodiversity!AG$28, IF('Biodiversity Assessment'!K32=19,Biodiversity!AG$29, IF('Biodiversity Assessment'!K32=20,Biodiversity!AG$30, IF('Biodiversity Assessment'!K32=21,Biodiversity!AG$31, IF('Biodiversity Assessment'!K32=22,Biodiversity!AG$32, IF('Biodiversity Assessment'!K32=23,Biodiversity!AG$33, IF('Biodiversity Assessment'!K32=24,Biodiversity!AG$34, IF('Biodiversity Assessment'!K32=25,Biodiversity!AG$35, IF('Biodiversity Assessment'!K32=26,Biodiversity!AG$36, IF('Biodiversity Assessment'!K32=27,Biodiversity!AG$37, IF('Biodiversity Assessment'!K32=28,Biodiversity!AG$38, IF('Biodiversity Assessment'!K32=29,Biodiversity!AG$39, IF('Biodiversity Assessment'!K32=30,Biodiversity!AG$40, IF('Biodiversity Assessment'!K32="?","Artificial"))))))))))))))))))))))))))))))))</f>
        <v/>
      </c>
      <c r="BJ32" s="163" t="str">
        <f>IF(R32="","",IF(S32=1,Biodiversity!AJ$11,IF('Biodiversity Assessment'!S32=2,Biodiversity!AJ$12, IF('Biodiversity Assessment'!S32=3,Biodiversity!AJ$13, IF('Biodiversity Assessment'!S32=4,Biodiversity!AJ$14, IF('Biodiversity Assessment'!S32=5,Biodiversity!AJ$15, IF('Biodiversity Assessment'!S32=6,Biodiversity!AJ$16, IF('Biodiversity Assessment'!S32=7,Biodiversity!AJ$17, IF('Biodiversity Assessment'!S32=8,Biodiversity!AJ$18, IF('Biodiversity Assessment'!S32=9,Biodiversity!AJ$19, IF('Biodiversity Assessment'!S32=10,Biodiversity!AJ$20, IF('Biodiversity Assessment'!S32=11,Biodiversity!AJ$21, IF('Biodiversity Assessment'!S32=12,Biodiversity!AJ$22, IF('Biodiversity Assessment'!S32=13,Biodiversity!AJ$23, IF('Biodiversity Assessment'!S32=14,Biodiversity!AJ$24, IF('Biodiversity Assessment'!S32=15,Biodiversity!AJ$25, IF('Biodiversity Assessment'!S32=16,Biodiversity!AJ$26, IF('Biodiversity Assessment'!S32=17,Biodiversity!AJ$27, IF('Biodiversity Assessment'!S32=18,Biodiversity!AJ$28, IF('Biodiversity Assessment'!S32=19,Biodiversity!AJ$29, IF('Biodiversity Assessment'!S32=20,Biodiversity!AJ$30, IF('Biodiversity Assessment'!S32=21,Biodiversity!AJ$31, IF('Biodiversity Assessment'!S32=22,Biodiversity!AJ$32, IF('Biodiversity Assessment'!S32=23,Biodiversity!AJ$33, IF('Biodiversity Assessment'!S32=24,Biodiversity!AJ$34, IF('Biodiversity Assessment'!S32=25,Biodiversity!AJ$35, IF('Biodiversity Assessment'!S32=26,Biodiversity!AJ$36, IF('Biodiversity Assessment'!S32=27,Biodiversity!AJ$37, IF('Biodiversity Assessment'!S32=28,Biodiversity!AJ$38, IF('Biodiversity Assessment'!S32=29,Biodiversity!AJ$39, IF('Biodiversity Assessment'!S32=30,Biodiversity!AJ$40, IF('Biodiversity Assessment'!S32="?","Artificial"))))))))))))))))))))))))))))))))</f>
        <v/>
      </c>
      <c r="BL32" s="164">
        <v>0</v>
      </c>
      <c r="BN32" s="164">
        <v>0</v>
      </c>
      <c r="BP32" s="375"/>
      <c r="BQ32" s="375"/>
      <c r="BR32" s="378" t="str">
        <f>Biodiversity!K25</f>
        <v>?</v>
      </c>
      <c r="BT32" s="378" t="str">
        <f>Biodiversity!L25</f>
        <v>?</v>
      </c>
      <c r="BV32" s="378" t="str">
        <f>Biodiversity!M25</f>
        <v>?</v>
      </c>
      <c r="BX32" s="378" t="str">
        <f>Biodiversity!N25</f>
        <v>?</v>
      </c>
      <c r="BZ32" s="378" t="str">
        <f>Biodiversity!O25</f>
        <v>?</v>
      </c>
      <c r="CB32" s="378" t="str">
        <f>Biodiversity!P25</f>
        <v>?</v>
      </c>
      <c r="CD32" s="378" t="str">
        <f>Biodiversity!R25</f>
        <v>?</v>
      </c>
      <c r="CF32" s="378" t="str">
        <f>Biodiversity!S25</f>
        <v>?</v>
      </c>
      <c r="CH32" s="378">
        <f>IF($BL$15=Data!$D$42,'Biodiversity Assessment'!BL32/100,IF($BL$15=Data!$D$43,'Biodiversity Assessment'!BL32/60,IF($BL$15=Data!$D$44,'Biodiversity Assessment'!BL32/50,"?")))</f>
        <v>0</v>
      </c>
      <c r="CJ32" s="378">
        <f>IF($BL$15=Data!$D$42,'Biodiversity Assessment'!BN32/100,IF($BL$15=Data!$D$43,'Biodiversity Assessment'!BN32/60,IF($BL$15=Data!$D$44,'Biodiversity Assessment'!BN32/50,"?")))</f>
        <v>0</v>
      </c>
      <c r="CN32" s="165">
        <f>'ESVD - Social Value of Bio'!G17</f>
        <v>0</v>
      </c>
      <c r="CO32" s="380"/>
      <c r="CP32" s="165" t="str">
        <f>IF('ESVD - Social Value of Bio'!H17=0," ",'ESVD - Social Value of Bio'!H17)</f>
        <v xml:space="preserve"> </v>
      </c>
      <c r="CQ32" s="380"/>
      <c r="CR32" s="376"/>
      <c r="CT32" s="165">
        <f>'ESVD - Social Value of Bio'!U17</f>
        <v>0</v>
      </c>
      <c r="CU32" s="380"/>
      <c r="CV32" s="165" t="str">
        <f>IF('ESVD - Social Value of Bio'!V17=0," ",'ESVD - Social Value of Bio'!V17)</f>
        <v xml:space="preserve"> </v>
      </c>
      <c r="CX32" s="374"/>
    </row>
    <row r="33" spans="1:102" s="188" customFormat="1" ht="16.5" customHeight="1" x14ac:dyDescent="0.3">
      <c r="A33" s="135"/>
      <c r="B33" s="419"/>
      <c r="C33" s="135"/>
      <c r="D33" s="135"/>
      <c r="E33" s="372" t="s">
        <v>223</v>
      </c>
      <c r="G33" s="421" t="s">
        <v>31</v>
      </c>
      <c r="H33" s="421"/>
      <c r="I33" s="421"/>
      <c r="J33" s="373" t="str">
        <f t="shared" si="2"/>
        <v/>
      </c>
      <c r="K33" s="370" t="s">
        <v>9</v>
      </c>
      <c r="M33" s="374">
        <v>0</v>
      </c>
      <c r="O33" s="421" t="s">
        <v>31</v>
      </c>
      <c r="P33" s="421"/>
      <c r="Q33" s="421"/>
      <c r="R33" s="373" t="str">
        <f t="shared" si="1"/>
        <v/>
      </c>
      <c r="S33" s="370" t="s">
        <v>9</v>
      </c>
      <c r="T33" s="373"/>
      <c r="U33" s="374">
        <v>0</v>
      </c>
      <c r="BD33" s="376">
        <v>0</v>
      </c>
      <c r="BE33" s="377"/>
      <c r="BF33" s="376">
        <v>0</v>
      </c>
      <c r="BH33" s="163" t="str">
        <f>IF(J33="","",IF(K33=1,Biodiversity!AG$11,IF('Biodiversity Assessment'!K33=2,Biodiversity!AG$12, IF('Biodiversity Assessment'!K33=3,Biodiversity!AG$13, IF('Biodiversity Assessment'!K33=4,Biodiversity!AG$14, IF('Biodiversity Assessment'!K33=5,Biodiversity!AG$15, IF('Biodiversity Assessment'!K33=6,Biodiversity!AG$16, IF('Biodiversity Assessment'!K33=7,Biodiversity!AG$17, IF('Biodiversity Assessment'!K33=8,Biodiversity!AG$18, IF('Biodiversity Assessment'!K33=9,Biodiversity!AG$19, IF('Biodiversity Assessment'!K33=10,Biodiversity!AG$20, IF('Biodiversity Assessment'!K33=11,Biodiversity!AG$21, IF('Biodiversity Assessment'!K33=12,Biodiversity!AG$22, IF('Biodiversity Assessment'!K33=13,Biodiversity!AG$23, IF('Biodiversity Assessment'!K33=14,Biodiversity!AG$24, IF('Biodiversity Assessment'!K33=15,Biodiversity!AG$25, IF('Biodiversity Assessment'!K33=16,Biodiversity!AG$26, IF('Biodiversity Assessment'!K33=17,Biodiversity!AG$27, IF('Biodiversity Assessment'!K33=18,Biodiversity!AG$28, IF('Biodiversity Assessment'!K33=19,Biodiversity!AG$29, IF('Biodiversity Assessment'!K33=20,Biodiversity!AG$30, IF('Biodiversity Assessment'!K33=21,Biodiversity!AG$31, IF('Biodiversity Assessment'!K33=22,Biodiversity!AG$32, IF('Biodiversity Assessment'!K33=23,Biodiversity!AG$33, IF('Biodiversity Assessment'!K33=24,Biodiversity!AG$34, IF('Biodiversity Assessment'!K33=25,Biodiversity!AG$35, IF('Biodiversity Assessment'!K33=26,Biodiversity!AG$36, IF('Biodiversity Assessment'!K33=27,Biodiversity!AG$37, IF('Biodiversity Assessment'!K33=28,Biodiversity!AG$38, IF('Biodiversity Assessment'!K33=29,Biodiversity!AG$39, IF('Biodiversity Assessment'!K33=30,Biodiversity!AG$40, IF('Biodiversity Assessment'!K33="?","Artificial"))))))))))))))))))))))))))))))))</f>
        <v/>
      </c>
      <c r="BJ33" s="163" t="str">
        <f>IF(R33="","",IF(S33=1,Biodiversity!AJ$11,IF('Biodiversity Assessment'!S33=2,Biodiversity!AJ$12, IF('Biodiversity Assessment'!S33=3,Biodiversity!AJ$13, IF('Biodiversity Assessment'!S33=4,Biodiversity!AJ$14, IF('Biodiversity Assessment'!S33=5,Biodiversity!AJ$15, IF('Biodiversity Assessment'!S33=6,Biodiversity!AJ$16, IF('Biodiversity Assessment'!S33=7,Biodiversity!AJ$17, IF('Biodiversity Assessment'!S33=8,Biodiversity!AJ$18, IF('Biodiversity Assessment'!S33=9,Biodiversity!AJ$19, IF('Biodiversity Assessment'!S33=10,Biodiversity!AJ$20, IF('Biodiversity Assessment'!S33=11,Biodiversity!AJ$21, IF('Biodiversity Assessment'!S33=12,Biodiversity!AJ$22, IF('Biodiversity Assessment'!S33=13,Biodiversity!AJ$23, IF('Biodiversity Assessment'!S33=14,Biodiversity!AJ$24, IF('Biodiversity Assessment'!S33=15,Biodiversity!AJ$25, IF('Biodiversity Assessment'!S33=16,Biodiversity!AJ$26, IF('Biodiversity Assessment'!S33=17,Biodiversity!AJ$27, IF('Biodiversity Assessment'!S33=18,Biodiversity!AJ$28, IF('Biodiversity Assessment'!S33=19,Biodiversity!AJ$29, IF('Biodiversity Assessment'!S33=20,Biodiversity!AJ$30, IF('Biodiversity Assessment'!S33=21,Biodiversity!AJ$31, IF('Biodiversity Assessment'!S33=22,Biodiversity!AJ$32, IF('Biodiversity Assessment'!S33=23,Biodiversity!AJ$33, IF('Biodiversity Assessment'!S33=24,Biodiversity!AJ$34, IF('Biodiversity Assessment'!S33=25,Biodiversity!AJ$35, IF('Biodiversity Assessment'!S33=26,Biodiversity!AJ$36, IF('Biodiversity Assessment'!S33=27,Biodiversity!AJ$37, IF('Biodiversity Assessment'!S33=28,Biodiversity!AJ$38, IF('Biodiversity Assessment'!S33=29,Biodiversity!AJ$39, IF('Biodiversity Assessment'!S33=30,Biodiversity!AJ$40, IF('Biodiversity Assessment'!S33="?","Artificial"))))))))))))))))))))))))))))))))</f>
        <v/>
      </c>
      <c r="BL33" s="164">
        <v>0</v>
      </c>
      <c r="BN33" s="164">
        <v>0</v>
      </c>
      <c r="BP33" s="375"/>
      <c r="BQ33" s="375"/>
      <c r="BR33" s="378" t="str">
        <f>Biodiversity!K26</f>
        <v>?</v>
      </c>
      <c r="BT33" s="378" t="str">
        <f>Biodiversity!L26</f>
        <v>?</v>
      </c>
      <c r="BV33" s="378" t="str">
        <f>Biodiversity!M26</f>
        <v>?</v>
      </c>
      <c r="BX33" s="378" t="str">
        <f>Biodiversity!N26</f>
        <v>?</v>
      </c>
      <c r="BZ33" s="378" t="str">
        <f>Biodiversity!O26</f>
        <v>?</v>
      </c>
      <c r="CB33" s="378" t="str">
        <f>Biodiversity!P26</f>
        <v>?</v>
      </c>
      <c r="CD33" s="378" t="str">
        <f>Biodiversity!R26</f>
        <v>?</v>
      </c>
      <c r="CF33" s="378" t="str">
        <f>Biodiversity!S26</f>
        <v>?</v>
      </c>
      <c r="CH33" s="378">
        <f>IF($BL$15=Data!$D$42,'Biodiversity Assessment'!BL33/100,IF($BL$15=Data!$D$43,'Biodiversity Assessment'!BL33/60,IF($BL$15=Data!$D$44,'Biodiversity Assessment'!BL33/50,"?")))</f>
        <v>0</v>
      </c>
      <c r="CJ33" s="378">
        <f>IF($BL$15=Data!$D$42,'Biodiversity Assessment'!BN33/100,IF($BL$15=Data!$D$43,'Biodiversity Assessment'!BN33/60,IF($BL$15=Data!$D$44,'Biodiversity Assessment'!BN33/50,"?")))</f>
        <v>0</v>
      </c>
      <c r="CN33" s="165">
        <f>'ESVD - Social Value of Bio'!G18</f>
        <v>0</v>
      </c>
      <c r="CO33" s="380"/>
      <c r="CP33" s="165" t="str">
        <f>IF('ESVD - Social Value of Bio'!H18=0," ",'ESVD - Social Value of Bio'!H18)</f>
        <v xml:space="preserve"> </v>
      </c>
      <c r="CQ33" s="380"/>
      <c r="CR33" s="376"/>
      <c r="CT33" s="165">
        <f>'ESVD - Social Value of Bio'!U18</f>
        <v>0</v>
      </c>
      <c r="CU33" s="380"/>
      <c r="CV33" s="165" t="str">
        <f>IF('ESVD - Social Value of Bio'!V18=0," ",'ESVD - Social Value of Bio'!V18)</f>
        <v xml:space="preserve"> </v>
      </c>
      <c r="CX33" s="374"/>
    </row>
    <row r="34" spans="1:102" s="188" customFormat="1" ht="16.5" customHeight="1" x14ac:dyDescent="0.3">
      <c r="A34" s="135"/>
      <c r="B34" s="419"/>
      <c r="C34" s="135"/>
      <c r="D34" s="135"/>
      <c r="E34" s="372" t="s">
        <v>224</v>
      </c>
      <c r="G34" s="415" t="s">
        <v>31</v>
      </c>
      <c r="H34" s="415"/>
      <c r="I34" s="415"/>
      <c r="J34" s="373" t="str">
        <f t="shared" si="2"/>
        <v/>
      </c>
      <c r="K34" s="370" t="s">
        <v>9</v>
      </c>
      <c r="M34" s="381">
        <v>0</v>
      </c>
      <c r="O34" s="415" t="s">
        <v>31</v>
      </c>
      <c r="P34" s="415"/>
      <c r="Q34" s="415"/>
      <c r="R34" s="373" t="str">
        <f t="shared" si="1"/>
        <v/>
      </c>
      <c r="S34" s="370" t="s">
        <v>9</v>
      </c>
      <c r="T34" s="373"/>
      <c r="U34" s="381">
        <v>0</v>
      </c>
      <c r="BD34" s="382">
        <v>0</v>
      </c>
      <c r="BE34" s="377"/>
      <c r="BF34" s="382">
        <v>0</v>
      </c>
      <c r="BH34" s="163" t="str">
        <f>IF(J34="","",IF(K34=1,Biodiversity!AG$11,IF('Biodiversity Assessment'!K34=2,Biodiversity!AG$12, IF('Biodiversity Assessment'!K34=3,Biodiversity!AG$13, IF('Biodiversity Assessment'!K34=4,Biodiversity!AG$14, IF('Biodiversity Assessment'!K34=5,Biodiversity!AG$15, IF('Biodiversity Assessment'!K34=6,Biodiversity!AG$16, IF('Biodiversity Assessment'!K34=7,Biodiversity!AG$17, IF('Biodiversity Assessment'!K34=8,Biodiversity!AG$18, IF('Biodiversity Assessment'!K34=9,Biodiversity!AG$19, IF('Biodiversity Assessment'!K34=10,Biodiversity!AG$20, IF('Biodiversity Assessment'!K34=11,Biodiversity!AG$21, IF('Biodiversity Assessment'!K34=12,Biodiversity!AG$22, IF('Biodiversity Assessment'!K34=13,Biodiversity!AG$23, IF('Biodiversity Assessment'!K34=14,Biodiversity!AG$24, IF('Biodiversity Assessment'!K34=15,Biodiversity!AG$25, IF('Biodiversity Assessment'!K34=16,Biodiversity!AG$26, IF('Biodiversity Assessment'!K34=17,Biodiversity!AG$27, IF('Biodiversity Assessment'!K34=18,Biodiversity!AG$28, IF('Biodiversity Assessment'!K34=19,Biodiversity!AG$29, IF('Biodiversity Assessment'!K34=20,Biodiversity!AG$30, IF('Biodiversity Assessment'!K34=21,Biodiversity!AG$31, IF('Biodiversity Assessment'!K34=22,Biodiversity!AG$32, IF('Biodiversity Assessment'!K34=23,Biodiversity!AG$33, IF('Biodiversity Assessment'!K34=24,Biodiversity!AG$34, IF('Biodiversity Assessment'!K34=25,Biodiversity!AG$35, IF('Biodiversity Assessment'!K34=26,Biodiversity!AG$36, IF('Biodiversity Assessment'!K34=27,Biodiversity!AG$37, IF('Biodiversity Assessment'!K34=28,Biodiversity!AG$38, IF('Biodiversity Assessment'!K34=29,Biodiversity!AG$39, IF('Biodiversity Assessment'!K34=30,Biodiversity!AG$40, IF('Biodiversity Assessment'!K34="?","Artificial"))))))))))))))))))))))))))))))))</f>
        <v/>
      </c>
      <c r="BJ34" s="163" t="str">
        <f>IF(R34="","",IF(S34=1,Biodiversity!AJ$11,IF('Biodiversity Assessment'!S34=2,Biodiversity!AJ$12, IF('Biodiversity Assessment'!S34=3,Biodiversity!AJ$13, IF('Biodiversity Assessment'!S34=4,Biodiversity!AJ$14, IF('Biodiversity Assessment'!S34=5,Biodiversity!AJ$15, IF('Biodiversity Assessment'!S34=6,Biodiversity!AJ$16, IF('Biodiversity Assessment'!S34=7,Biodiversity!AJ$17, IF('Biodiversity Assessment'!S34=8,Biodiversity!AJ$18, IF('Biodiversity Assessment'!S34=9,Biodiversity!AJ$19, IF('Biodiversity Assessment'!S34=10,Biodiversity!AJ$20, IF('Biodiversity Assessment'!S34=11,Biodiversity!AJ$21, IF('Biodiversity Assessment'!S34=12,Biodiversity!AJ$22, IF('Biodiversity Assessment'!S34=13,Biodiversity!AJ$23, IF('Biodiversity Assessment'!S34=14,Biodiversity!AJ$24, IF('Biodiversity Assessment'!S34=15,Biodiversity!AJ$25, IF('Biodiversity Assessment'!S34=16,Biodiversity!AJ$26, IF('Biodiversity Assessment'!S34=17,Biodiversity!AJ$27, IF('Biodiversity Assessment'!S34=18,Biodiversity!AJ$28, IF('Biodiversity Assessment'!S34=19,Biodiversity!AJ$29, IF('Biodiversity Assessment'!S34=20,Biodiversity!AJ$30, IF('Biodiversity Assessment'!S34=21,Biodiversity!AJ$31, IF('Biodiversity Assessment'!S34=22,Biodiversity!AJ$32, IF('Biodiversity Assessment'!S34=23,Biodiversity!AJ$33, IF('Biodiversity Assessment'!S34=24,Biodiversity!AJ$34, IF('Biodiversity Assessment'!S34=25,Biodiversity!AJ$35, IF('Biodiversity Assessment'!S34=26,Biodiversity!AJ$36, IF('Biodiversity Assessment'!S34=27,Biodiversity!AJ$37, IF('Biodiversity Assessment'!S34=28,Biodiversity!AJ$38, IF('Biodiversity Assessment'!S34=29,Biodiversity!AJ$39, IF('Biodiversity Assessment'!S34=30,Biodiversity!AJ$40, IF('Biodiversity Assessment'!S34="?","Artificial"))))))))))))))))))))))))))))))))</f>
        <v/>
      </c>
      <c r="BL34" s="164">
        <v>0</v>
      </c>
      <c r="BN34" s="164">
        <v>0</v>
      </c>
      <c r="BP34" s="375"/>
      <c r="BQ34" s="375"/>
      <c r="BR34" s="378" t="str">
        <f>Biodiversity!K27</f>
        <v>?</v>
      </c>
      <c r="BT34" s="378" t="str">
        <f>Biodiversity!L27</f>
        <v>?</v>
      </c>
      <c r="BV34" s="378" t="str">
        <f>Biodiversity!M27</f>
        <v>?</v>
      </c>
      <c r="BX34" s="378" t="str">
        <f>Biodiversity!N27</f>
        <v>?</v>
      </c>
      <c r="BZ34" s="378" t="str">
        <f>Biodiversity!O27</f>
        <v>?</v>
      </c>
      <c r="CB34" s="378" t="str">
        <f>Biodiversity!P27</f>
        <v>?</v>
      </c>
      <c r="CD34" s="378" t="str">
        <f>Biodiversity!R27</f>
        <v>?</v>
      </c>
      <c r="CF34" s="378" t="str">
        <f>Biodiversity!S27</f>
        <v>?</v>
      </c>
      <c r="CH34" s="378">
        <f>IF($BL$15=Data!$D$42,'Biodiversity Assessment'!BL34/100,IF($BL$15=Data!$D$43,'Biodiversity Assessment'!BL34/60,IF($BL$15=Data!$D$44,'Biodiversity Assessment'!BL34/50,"?")))</f>
        <v>0</v>
      </c>
      <c r="CJ34" s="378">
        <f>IF($BL$15=Data!$D$42,'Biodiversity Assessment'!BN34/100,IF($BL$15=Data!$D$43,'Biodiversity Assessment'!BN34/60,IF($BL$15=Data!$D$44,'Biodiversity Assessment'!BN34/50,"?")))</f>
        <v>0</v>
      </c>
      <c r="CN34" s="165">
        <f>'ESVD - Social Value of Bio'!G19</f>
        <v>0</v>
      </c>
      <c r="CO34" s="380"/>
      <c r="CP34" s="165" t="str">
        <f>IF('ESVD - Social Value of Bio'!H19=0," ",'ESVD - Social Value of Bio'!H19)</f>
        <v xml:space="preserve"> </v>
      </c>
      <c r="CQ34" s="380"/>
      <c r="CR34" s="382"/>
      <c r="CT34" s="165">
        <f>'ESVD - Social Value of Bio'!U19</f>
        <v>0</v>
      </c>
      <c r="CU34" s="380"/>
      <c r="CV34" s="165" t="str">
        <f>IF('ESVD - Social Value of Bio'!V19=0," ",'ESVD - Social Value of Bio'!V19)</f>
        <v xml:space="preserve"> </v>
      </c>
      <c r="CX34" s="381"/>
    </row>
    <row r="35" spans="1:102" s="188" customFormat="1" ht="16.5" customHeight="1" x14ac:dyDescent="0.3">
      <c r="A35" s="135"/>
      <c r="B35" s="419"/>
      <c r="C35" s="135"/>
      <c r="D35" s="135"/>
      <c r="E35" s="372" t="s">
        <v>225</v>
      </c>
      <c r="G35" s="415" t="s">
        <v>31</v>
      </c>
      <c r="H35" s="415"/>
      <c r="I35" s="415"/>
      <c r="J35" s="373" t="str">
        <f t="shared" si="2"/>
        <v/>
      </c>
      <c r="K35" s="370" t="s">
        <v>9</v>
      </c>
      <c r="M35" s="381">
        <v>0</v>
      </c>
      <c r="O35" s="415" t="s">
        <v>31</v>
      </c>
      <c r="P35" s="415"/>
      <c r="Q35" s="415"/>
      <c r="R35" s="373" t="str">
        <f t="shared" si="1"/>
        <v/>
      </c>
      <c r="S35" s="370" t="s">
        <v>9</v>
      </c>
      <c r="T35" s="373"/>
      <c r="U35" s="381">
        <v>0</v>
      </c>
      <c r="BD35" s="382">
        <v>0</v>
      </c>
      <c r="BE35" s="377"/>
      <c r="BF35" s="382">
        <v>0</v>
      </c>
      <c r="BH35" s="163" t="str">
        <f>IF(J35="","",IF(K35=1,Biodiversity!AG$11,IF('Biodiversity Assessment'!K35=2,Biodiversity!AG$12, IF('Biodiversity Assessment'!K35=3,Biodiversity!AG$13, IF('Biodiversity Assessment'!K35=4,Biodiversity!AG$14, IF('Biodiversity Assessment'!K35=5,Biodiversity!AG$15, IF('Biodiversity Assessment'!K35=6,Biodiversity!AG$16, IF('Biodiversity Assessment'!K35=7,Biodiversity!AG$17, IF('Biodiversity Assessment'!K35=8,Biodiversity!AG$18, IF('Biodiversity Assessment'!K35=9,Biodiversity!AG$19, IF('Biodiversity Assessment'!K35=10,Biodiversity!AG$20, IF('Biodiversity Assessment'!K35=11,Biodiversity!AG$21, IF('Biodiversity Assessment'!K35=12,Biodiversity!AG$22, IF('Biodiversity Assessment'!K35=13,Biodiversity!AG$23, IF('Biodiversity Assessment'!K35=14,Biodiversity!AG$24, IF('Biodiversity Assessment'!K35=15,Biodiversity!AG$25, IF('Biodiversity Assessment'!K35=16,Biodiversity!AG$26, IF('Biodiversity Assessment'!K35=17,Biodiversity!AG$27, IF('Biodiversity Assessment'!K35=18,Biodiversity!AG$28, IF('Biodiversity Assessment'!K35=19,Biodiversity!AG$29, IF('Biodiversity Assessment'!K35=20,Biodiversity!AG$30, IF('Biodiversity Assessment'!K35=21,Biodiversity!AG$31, IF('Biodiversity Assessment'!K35=22,Biodiversity!AG$32, IF('Biodiversity Assessment'!K35=23,Biodiversity!AG$33, IF('Biodiversity Assessment'!K35=24,Biodiversity!AG$34, IF('Biodiversity Assessment'!K35=25,Biodiversity!AG$35, IF('Biodiversity Assessment'!K35=26,Biodiversity!AG$36, IF('Biodiversity Assessment'!K35=27,Biodiversity!AG$37, IF('Biodiversity Assessment'!K35=28,Biodiversity!AG$38, IF('Biodiversity Assessment'!K35=29,Biodiversity!AG$39, IF('Biodiversity Assessment'!K35=30,Biodiversity!AG$40, IF('Biodiversity Assessment'!K35="?","Artificial"))))))))))))))))))))))))))))))))</f>
        <v/>
      </c>
      <c r="BJ35" s="163" t="str">
        <f>IF(R35="","",IF(S35=1,Biodiversity!AJ$11,IF('Biodiversity Assessment'!S35=2,Biodiversity!AJ$12, IF('Biodiversity Assessment'!S35=3,Biodiversity!AJ$13, IF('Biodiversity Assessment'!S35=4,Biodiversity!AJ$14, IF('Biodiversity Assessment'!S35=5,Biodiversity!AJ$15, IF('Biodiversity Assessment'!S35=6,Biodiversity!AJ$16, IF('Biodiversity Assessment'!S35=7,Biodiversity!AJ$17, IF('Biodiversity Assessment'!S35=8,Biodiversity!AJ$18, IF('Biodiversity Assessment'!S35=9,Biodiversity!AJ$19, IF('Biodiversity Assessment'!S35=10,Biodiversity!AJ$20, IF('Biodiversity Assessment'!S35=11,Biodiversity!AJ$21, IF('Biodiversity Assessment'!S35=12,Biodiversity!AJ$22, IF('Biodiversity Assessment'!S35=13,Biodiversity!AJ$23, IF('Biodiversity Assessment'!S35=14,Biodiversity!AJ$24, IF('Biodiversity Assessment'!S35=15,Biodiversity!AJ$25, IF('Biodiversity Assessment'!S35=16,Biodiversity!AJ$26, IF('Biodiversity Assessment'!S35=17,Biodiversity!AJ$27, IF('Biodiversity Assessment'!S35=18,Biodiversity!AJ$28, IF('Biodiversity Assessment'!S35=19,Biodiversity!AJ$29, IF('Biodiversity Assessment'!S35=20,Biodiversity!AJ$30, IF('Biodiversity Assessment'!S35=21,Biodiversity!AJ$31, IF('Biodiversity Assessment'!S35=22,Biodiversity!AJ$32, IF('Biodiversity Assessment'!S35=23,Biodiversity!AJ$33, IF('Biodiversity Assessment'!S35=24,Biodiversity!AJ$34, IF('Biodiversity Assessment'!S35=25,Biodiversity!AJ$35, IF('Biodiversity Assessment'!S35=26,Biodiversity!AJ$36, IF('Biodiversity Assessment'!S35=27,Biodiversity!AJ$37, IF('Biodiversity Assessment'!S35=28,Biodiversity!AJ$38, IF('Biodiversity Assessment'!S35=29,Biodiversity!AJ$39, IF('Biodiversity Assessment'!S35=30,Biodiversity!AJ$40, IF('Biodiversity Assessment'!S35="?","Artificial"))))))))))))))))))))))))))))))))</f>
        <v/>
      </c>
      <c r="BL35" s="164">
        <v>0</v>
      </c>
      <c r="BN35" s="164">
        <v>0</v>
      </c>
      <c r="BP35" s="375"/>
      <c r="BQ35" s="375"/>
      <c r="BR35" s="378" t="str">
        <f>Biodiversity!K28</f>
        <v>?</v>
      </c>
      <c r="BT35" s="378" t="str">
        <f>Biodiversity!L28</f>
        <v>?</v>
      </c>
      <c r="BV35" s="378" t="str">
        <f>Biodiversity!M28</f>
        <v>?</v>
      </c>
      <c r="BX35" s="378" t="str">
        <f>Biodiversity!N28</f>
        <v>?</v>
      </c>
      <c r="BZ35" s="378" t="str">
        <f>Biodiversity!O28</f>
        <v>?</v>
      </c>
      <c r="CB35" s="378" t="str">
        <f>Biodiversity!P28</f>
        <v>?</v>
      </c>
      <c r="CD35" s="378" t="str">
        <f>Biodiversity!R28</f>
        <v>?</v>
      </c>
      <c r="CF35" s="378" t="str">
        <f>Biodiversity!S28</f>
        <v>?</v>
      </c>
      <c r="CH35" s="378">
        <f>IF($BL$15=Data!$D$42,'Biodiversity Assessment'!BL35/100,IF($BL$15=Data!$D$43,'Biodiversity Assessment'!BL35/60,IF($BL$15=Data!$D$44,'Biodiversity Assessment'!BL35/50,"?")))</f>
        <v>0</v>
      </c>
      <c r="CJ35" s="378">
        <f>IF($BL$15=Data!$D$42,'Biodiversity Assessment'!BN35/100,IF($BL$15=Data!$D$43,'Biodiversity Assessment'!BN35/60,IF($BL$15=Data!$D$44,'Biodiversity Assessment'!BN35/50,"?")))</f>
        <v>0</v>
      </c>
      <c r="CN35" s="165">
        <f>'ESVD - Social Value of Bio'!G20</f>
        <v>0</v>
      </c>
      <c r="CO35" s="380"/>
      <c r="CP35" s="165" t="str">
        <f>IF('ESVD - Social Value of Bio'!H20=0," ",'ESVD - Social Value of Bio'!H20)</f>
        <v xml:space="preserve"> </v>
      </c>
      <c r="CQ35" s="380"/>
      <c r="CR35" s="382"/>
      <c r="CT35" s="165">
        <f>'ESVD - Social Value of Bio'!U20</f>
        <v>0</v>
      </c>
      <c r="CU35" s="380"/>
      <c r="CV35" s="165" t="str">
        <f>IF('ESVD - Social Value of Bio'!V20=0," ",'ESVD - Social Value of Bio'!V20)</f>
        <v xml:space="preserve"> </v>
      </c>
      <c r="CX35" s="381"/>
    </row>
    <row r="36" spans="1:102" s="188" customFormat="1" ht="16.5" customHeight="1" x14ac:dyDescent="0.3">
      <c r="A36" s="135"/>
      <c r="B36" s="419"/>
      <c r="C36" s="135"/>
      <c r="D36" s="135"/>
      <c r="E36" s="372" t="s">
        <v>226</v>
      </c>
      <c r="G36" s="415" t="s">
        <v>31</v>
      </c>
      <c r="H36" s="415"/>
      <c r="I36" s="415"/>
      <c r="J36" s="373" t="str">
        <f t="shared" si="2"/>
        <v/>
      </c>
      <c r="K36" s="370" t="s">
        <v>9</v>
      </c>
      <c r="M36" s="381">
        <v>0</v>
      </c>
      <c r="O36" s="415" t="s">
        <v>31</v>
      </c>
      <c r="P36" s="415"/>
      <c r="Q36" s="415"/>
      <c r="R36" s="373" t="str">
        <f t="shared" si="1"/>
        <v/>
      </c>
      <c r="S36" s="370" t="s">
        <v>9</v>
      </c>
      <c r="T36" s="373"/>
      <c r="U36" s="381">
        <v>0</v>
      </c>
      <c r="BD36" s="382">
        <v>0</v>
      </c>
      <c r="BE36" s="377"/>
      <c r="BF36" s="382">
        <v>0</v>
      </c>
      <c r="BH36" s="163" t="str">
        <f>IF(J36="","",IF(K36=1,Biodiversity!AG$11,IF('Biodiversity Assessment'!K36=2,Biodiversity!AG$12, IF('Biodiversity Assessment'!K36=3,Biodiversity!AG$13, IF('Biodiversity Assessment'!K36=4,Biodiversity!AG$14, IF('Biodiversity Assessment'!K36=5,Biodiversity!AG$15, IF('Biodiversity Assessment'!K36=6,Biodiversity!AG$16, IF('Biodiversity Assessment'!K36=7,Biodiversity!AG$17, IF('Biodiversity Assessment'!K36=8,Biodiversity!AG$18, IF('Biodiversity Assessment'!K36=9,Biodiversity!AG$19, IF('Biodiversity Assessment'!K36=10,Biodiversity!AG$20, IF('Biodiversity Assessment'!K36=11,Biodiversity!AG$21, IF('Biodiversity Assessment'!K36=12,Biodiversity!AG$22, IF('Biodiversity Assessment'!K36=13,Biodiversity!AG$23, IF('Biodiversity Assessment'!K36=14,Biodiversity!AG$24, IF('Biodiversity Assessment'!K36=15,Biodiversity!AG$25, IF('Biodiversity Assessment'!K36=16,Biodiversity!AG$26, IF('Biodiversity Assessment'!K36=17,Biodiversity!AG$27, IF('Biodiversity Assessment'!K36=18,Biodiversity!AG$28, IF('Biodiversity Assessment'!K36=19,Biodiversity!AG$29, IF('Biodiversity Assessment'!K36=20,Biodiversity!AG$30, IF('Biodiversity Assessment'!K36=21,Biodiversity!AG$31, IF('Biodiversity Assessment'!K36=22,Biodiversity!AG$32, IF('Biodiversity Assessment'!K36=23,Biodiversity!AG$33, IF('Biodiversity Assessment'!K36=24,Biodiversity!AG$34, IF('Biodiversity Assessment'!K36=25,Biodiversity!AG$35, IF('Biodiversity Assessment'!K36=26,Biodiversity!AG$36, IF('Biodiversity Assessment'!K36=27,Biodiversity!AG$37, IF('Biodiversity Assessment'!K36=28,Biodiversity!AG$38, IF('Biodiversity Assessment'!K36=29,Biodiversity!AG$39, IF('Biodiversity Assessment'!K36=30,Biodiversity!AG$40, IF('Biodiversity Assessment'!K36="?","Artificial"))))))))))))))))))))))))))))))))</f>
        <v/>
      </c>
      <c r="BJ36" s="163" t="str">
        <f>IF(R36="","",IF(S36=1,Biodiversity!AJ$11,IF('Biodiversity Assessment'!S36=2,Biodiversity!AJ$12, IF('Biodiversity Assessment'!S36=3,Biodiversity!AJ$13, IF('Biodiversity Assessment'!S36=4,Biodiversity!AJ$14, IF('Biodiversity Assessment'!S36=5,Biodiversity!AJ$15, IF('Biodiversity Assessment'!S36=6,Biodiversity!AJ$16, IF('Biodiversity Assessment'!S36=7,Biodiversity!AJ$17, IF('Biodiversity Assessment'!S36=8,Biodiversity!AJ$18, IF('Biodiversity Assessment'!S36=9,Biodiversity!AJ$19, IF('Biodiversity Assessment'!S36=10,Biodiversity!AJ$20, IF('Biodiversity Assessment'!S36=11,Biodiversity!AJ$21, IF('Biodiversity Assessment'!S36=12,Biodiversity!AJ$22, IF('Biodiversity Assessment'!S36=13,Biodiversity!AJ$23, IF('Biodiversity Assessment'!S36=14,Biodiversity!AJ$24, IF('Biodiversity Assessment'!S36=15,Biodiversity!AJ$25, IF('Biodiversity Assessment'!S36=16,Biodiversity!AJ$26, IF('Biodiversity Assessment'!S36=17,Biodiversity!AJ$27, IF('Biodiversity Assessment'!S36=18,Biodiversity!AJ$28, IF('Biodiversity Assessment'!S36=19,Biodiversity!AJ$29, IF('Biodiversity Assessment'!S36=20,Biodiversity!AJ$30, IF('Biodiversity Assessment'!S36=21,Biodiversity!AJ$31, IF('Biodiversity Assessment'!S36=22,Biodiversity!AJ$32, IF('Biodiversity Assessment'!S36=23,Biodiversity!AJ$33, IF('Biodiversity Assessment'!S36=24,Biodiversity!AJ$34, IF('Biodiversity Assessment'!S36=25,Biodiversity!AJ$35, IF('Biodiversity Assessment'!S36=26,Biodiversity!AJ$36, IF('Biodiversity Assessment'!S36=27,Biodiversity!AJ$37, IF('Biodiversity Assessment'!S36=28,Biodiversity!AJ$38, IF('Biodiversity Assessment'!S36=29,Biodiversity!AJ$39, IF('Biodiversity Assessment'!S36=30,Biodiversity!AJ$40, IF('Biodiversity Assessment'!S36="?","Artificial"))))))))))))))))))))))))))))))))</f>
        <v/>
      </c>
      <c r="BL36" s="164">
        <v>0</v>
      </c>
      <c r="BN36" s="164">
        <v>0</v>
      </c>
      <c r="BP36" s="375"/>
      <c r="BQ36" s="375"/>
      <c r="BR36" s="378" t="str">
        <f>Biodiversity!K29</f>
        <v>?</v>
      </c>
      <c r="BT36" s="378" t="str">
        <f>Biodiversity!L29</f>
        <v>?</v>
      </c>
      <c r="BV36" s="378" t="str">
        <f>Biodiversity!M29</f>
        <v>?</v>
      </c>
      <c r="BX36" s="378" t="str">
        <f>Biodiversity!N29</f>
        <v>?</v>
      </c>
      <c r="BZ36" s="378" t="str">
        <f>Biodiversity!O29</f>
        <v>?</v>
      </c>
      <c r="CB36" s="378" t="str">
        <f>Biodiversity!P29</f>
        <v>?</v>
      </c>
      <c r="CD36" s="378" t="str">
        <f>Biodiversity!R29</f>
        <v>?</v>
      </c>
      <c r="CF36" s="378" t="str">
        <f>Biodiversity!S29</f>
        <v>?</v>
      </c>
      <c r="CH36" s="378">
        <f>IF($BL$15=Data!$D$42,'Biodiversity Assessment'!BL36/100,IF($BL$15=Data!$D$43,'Biodiversity Assessment'!BL36/60,IF($BL$15=Data!$D$44,'Biodiversity Assessment'!BL36/50,"?")))</f>
        <v>0</v>
      </c>
      <c r="CJ36" s="378">
        <f>IF($BL$15=Data!$D$42,'Biodiversity Assessment'!BN36/100,IF($BL$15=Data!$D$43,'Biodiversity Assessment'!BN36/60,IF($BL$15=Data!$D$44,'Biodiversity Assessment'!BN36/50,"?")))</f>
        <v>0</v>
      </c>
      <c r="CN36" s="165">
        <f>'ESVD - Social Value of Bio'!G21</f>
        <v>0</v>
      </c>
      <c r="CO36" s="380"/>
      <c r="CP36" s="165" t="str">
        <f>IF('ESVD - Social Value of Bio'!H21=0," ",'ESVD - Social Value of Bio'!H21)</f>
        <v xml:space="preserve"> </v>
      </c>
      <c r="CQ36" s="380"/>
      <c r="CR36" s="382"/>
      <c r="CT36" s="165">
        <f>'ESVD - Social Value of Bio'!U21</f>
        <v>0</v>
      </c>
      <c r="CU36" s="380"/>
      <c r="CV36" s="165" t="str">
        <f>IF('ESVD - Social Value of Bio'!V21=0," ",'ESVD - Social Value of Bio'!V21)</f>
        <v xml:space="preserve"> </v>
      </c>
      <c r="CX36" s="381"/>
    </row>
    <row r="37" spans="1:102" s="188" customFormat="1" ht="16.5" customHeight="1" x14ac:dyDescent="0.3">
      <c r="A37" s="135"/>
      <c r="B37" s="419"/>
      <c r="C37" s="135"/>
      <c r="D37" s="135"/>
      <c r="E37" s="372" t="s">
        <v>227</v>
      </c>
      <c r="G37" s="415" t="s">
        <v>31</v>
      </c>
      <c r="H37" s="415"/>
      <c r="I37" s="415"/>
      <c r="J37" s="373" t="str">
        <f t="shared" si="2"/>
        <v/>
      </c>
      <c r="K37" s="370" t="s">
        <v>9</v>
      </c>
      <c r="M37" s="381">
        <v>0</v>
      </c>
      <c r="O37" s="415" t="s">
        <v>31</v>
      </c>
      <c r="P37" s="415"/>
      <c r="Q37" s="415"/>
      <c r="R37" s="373" t="str">
        <f t="shared" si="1"/>
        <v/>
      </c>
      <c r="S37" s="370" t="s">
        <v>9</v>
      </c>
      <c r="T37" s="373"/>
      <c r="U37" s="381">
        <v>0</v>
      </c>
      <c r="BD37" s="382">
        <v>0</v>
      </c>
      <c r="BE37" s="377"/>
      <c r="BF37" s="382">
        <v>0</v>
      </c>
      <c r="BH37" s="163" t="str">
        <f>IF(J37="","",IF(K37=1,Biodiversity!AG$11,IF('Biodiversity Assessment'!K37=2,Biodiversity!AG$12, IF('Biodiversity Assessment'!K37=3,Biodiversity!AG$13, IF('Biodiversity Assessment'!K37=4,Biodiversity!AG$14, IF('Biodiversity Assessment'!K37=5,Biodiversity!AG$15, IF('Biodiversity Assessment'!K37=6,Biodiversity!AG$16, IF('Biodiversity Assessment'!K37=7,Biodiversity!AG$17, IF('Biodiversity Assessment'!K37=8,Biodiversity!AG$18, IF('Biodiversity Assessment'!K37=9,Biodiversity!AG$19, IF('Biodiversity Assessment'!K37=10,Biodiversity!AG$20, IF('Biodiversity Assessment'!K37=11,Biodiversity!AG$21, IF('Biodiversity Assessment'!K37=12,Biodiversity!AG$22, IF('Biodiversity Assessment'!K37=13,Biodiversity!AG$23, IF('Biodiversity Assessment'!K37=14,Biodiversity!AG$24, IF('Biodiversity Assessment'!K37=15,Biodiversity!AG$25, IF('Biodiversity Assessment'!K37=16,Biodiversity!AG$26, IF('Biodiversity Assessment'!K37=17,Biodiversity!AG$27, IF('Biodiversity Assessment'!K37=18,Biodiversity!AG$28, IF('Biodiversity Assessment'!K37=19,Biodiversity!AG$29, IF('Biodiversity Assessment'!K37=20,Biodiversity!AG$30, IF('Biodiversity Assessment'!K37=21,Biodiversity!AG$31, IF('Biodiversity Assessment'!K37=22,Biodiversity!AG$32, IF('Biodiversity Assessment'!K37=23,Biodiversity!AG$33, IF('Biodiversity Assessment'!K37=24,Biodiversity!AG$34, IF('Biodiversity Assessment'!K37=25,Biodiversity!AG$35, IF('Biodiversity Assessment'!K37=26,Biodiversity!AG$36, IF('Biodiversity Assessment'!K37=27,Biodiversity!AG$37, IF('Biodiversity Assessment'!K37=28,Biodiversity!AG$38, IF('Biodiversity Assessment'!K37=29,Biodiversity!AG$39, IF('Biodiversity Assessment'!K37=30,Biodiversity!AG$40, IF('Biodiversity Assessment'!K37="?","Artificial"))))))))))))))))))))))))))))))))</f>
        <v/>
      </c>
      <c r="BJ37" s="163" t="str">
        <f>IF(R37="","",IF(S37=1,Biodiversity!AJ$11,IF('Biodiversity Assessment'!S37=2,Biodiversity!AJ$12, IF('Biodiversity Assessment'!S37=3,Biodiversity!AJ$13, IF('Biodiversity Assessment'!S37=4,Biodiversity!AJ$14, IF('Biodiversity Assessment'!S37=5,Biodiversity!AJ$15, IF('Biodiversity Assessment'!S37=6,Biodiversity!AJ$16, IF('Biodiversity Assessment'!S37=7,Biodiversity!AJ$17, IF('Biodiversity Assessment'!S37=8,Biodiversity!AJ$18, IF('Biodiversity Assessment'!S37=9,Biodiversity!AJ$19, IF('Biodiversity Assessment'!S37=10,Biodiversity!AJ$20, IF('Biodiversity Assessment'!S37=11,Biodiversity!AJ$21, IF('Biodiversity Assessment'!S37=12,Biodiversity!AJ$22, IF('Biodiversity Assessment'!S37=13,Biodiversity!AJ$23, IF('Biodiversity Assessment'!S37=14,Biodiversity!AJ$24, IF('Biodiversity Assessment'!S37=15,Biodiversity!AJ$25, IF('Biodiversity Assessment'!S37=16,Biodiversity!AJ$26, IF('Biodiversity Assessment'!S37=17,Biodiversity!AJ$27, IF('Biodiversity Assessment'!S37=18,Biodiversity!AJ$28, IF('Biodiversity Assessment'!S37=19,Biodiversity!AJ$29, IF('Biodiversity Assessment'!S37=20,Biodiversity!AJ$30, IF('Biodiversity Assessment'!S37=21,Biodiversity!AJ$31, IF('Biodiversity Assessment'!S37=22,Biodiversity!AJ$32, IF('Biodiversity Assessment'!S37=23,Biodiversity!AJ$33, IF('Biodiversity Assessment'!S37=24,Biodiversity!AJ$34, IF('Biodiversity Assessment'!S37=25,Biodiversity!AJ$35, IF('Biodiversity Assessment'!S37=26,Biodiversity!AJ$36, IF('Biodiversity Assessment'!S37=27,Biodiversity!AJ$37, IF('Biodiversity Assessment'!S37=28,Biodiversity!AJ$38, IF('Biodiversity Assessment'!S37=29,Biodiversity!AJ$39, IF('Biodiversity Assessment'!S37=30,Biodiversity!AJ$40, IF('Biodiversity Assessment'!S37="?","Artificial"))))))))))))))))))))))))))))))))</f>
        <v/>
      </c>
      <c r="BL37" s="164">
        <v>0</v>
      </c>
      <c r="BN37" s="164">
        <v>0</v>
      </c>
      <c r="BP37" s="375"/>
      <c r="BQ37" s="375"/>
      <c r="BR37" s="378" t="str">
        <f>Biodiversity!K30</f>
        <v>?</v>
      </c>
      <c r="BT37" s="378" t="str">
        <f>Biodiversity!L30</f>
        <v>?</v>
      </c>
      <c r="BV37" s="378" t="str">
        <f>Biodiversity!M30</f>
        <v>?</v>
      </c>
      <c r="BX37" s="378" t="str">
        <f>Biodiversity!N30</f>
        <v>?</v>
      </c>
      <c r="BZ37" s="378" t="str">
        <f>Biodiversity!O30</f>
        <v>?</v>
      </c>
      <c r="CB37" s="378" t="str">
        <f>Biodiversity!P30</f>
        <v>?</v>
      </c>
      <c r="CD37" s="378" t="str">
        <f>Biodiversity!R30</f>
        <v>?</v>
      </c>
      <c r="CF37" s="378" t="str">
        <f>Biodiversity!S30</f>
        <v>?</v>
      </c>
      <c r="CH37" s="378">
        <f>IF($BL$15=Data!$D$42,'Biodiversity Assessment'!BL37/100,IF($BL$15=Data!$D$43,'Biodiversity Assessment'!BL37/60,IF($BL$15=Data!$D$44,'Biodiversity Assessment'!BL37/50,"?")))</f>
        <v>0</v>
      </c>
      <c r="CJ37" s="378">
        <f>IF($BL$15=Data!$D$42,'Biodiversity Assessment'!BN37/100,IF($BL$15=Data!$D$43,'Biodiversity Assessment'!BN37/60,IF($BL$15=Data!$D$44,'Biodiversity Assessment'!BN37/50,"?")))</f>
        <v>0</v>
      </c>
      <c r="CN37" s="165">
        <f>'ESVD - Social Value of Bio'!G22</f>
        <v>0</v>
      </c>
      <c r="CO37" s="380"/>
      <c r="CP37" s="165" t="str">
        <f>IF('ESVD - Social Value of Bio'!H22=0," ",'ESVD - Social Value of Bio'!H22)</f>
        <v xml:space="preserve"> </v>
      </c>
      <c r="CQ37" s="380"/>
      <c r="CR37" s="382"/>
      <c r="CT37" s="165">
        <f>'ESVD - Social Value of Bio'!U22</f>
        <v>0</v>
      </c>
      <c r="CU37" s="380"/>
      <c r="CV37" s="165" t="str">
        <f>IF('ESVD - Social Value of Bio'!V22=0," ",'ESVD - Social Value of Bio'!V22)</f>
        <v xml:space="preserve"> </v>
      </c>
      <c r="CX37" s="381"/>
    </row>
    <row r="38" spans="1:102" s="188" customFormat="1" ht="16.5" customHeight="1" x14ac:dyDescent="0.3">
      <c r="A38" s="135"/>
      <c r="B38" s="419"/>
      <c r="C38" s="135"/>
      <c r="D38" s="135"/>
      <c r="E38" s="383" t="s">
        <v>398</v>
      </c>
      <c r="G38" s="415" t="s">
        <v>31</v>
      </c>
      <c r="H38" s="415"/>
      <c r="I38" s="415"/>
      <c r="J38" s="373" t="str">
        <f t="shared" si="2"/>
        <v/>
      </c>
      <c r="K38" s="370" t="s">
        <v>9</v>
      </c>
      <c r="M38" s="381">
        <v>0</v>
      </c>
      <c r="O38" s="415" t="s">
        <v>31</v>
      </c>
      <c r="P38" s="415"/>
      <c r="Q38" s="415"/>
      <c r="R38" s="373" t="str">
        <f t="shared" si="1"/>
        <v/>
      </c>
      <c r="S38" s="370" t="s">
        <v>9</v>
      </c>
      <c r="T38" s="373"/>
      <c r="U38" s="381">
        <v>0</v>
      </c>
      <c r="BD38" s="382">
        <v>0</v>
      </c>
      <c r="BE38" s="377"/>
      <c r="BF38" s="382">
        <f>BD35</f>
        <v>0</v>
      </c>
      <c r="BH38" s="163" t="str">
        <f>IF(J38="","",IF(K38=1,Biodiversity!AG$11,IF('Biodiversity Assessment'!K38=2,Biodiversity!AG$12, IF('Biodiversity Assessment'!K38=3,Biodiversity!AG$13, IF('Biodiversity Assessment'!K38=4,Biodiversity!AG$14, IF('Biodiversity Assessment'!K38=5,Biodiversity!AG$15, IF('Biodiversity Assessment'!K38=6,Biodiversity!AG$16, IF('Biodiversity Assessment'!K38=7,Biodiversity!AG$17, IF('Biodiversity Assessment'!K38=8,Biodiversity!AG$18, IF('Biodiversity Assessment'!K38=9,Biodiversity!AG$19, IF('Biodiversity Assessment'!K38=10,Biodiversity!AG$20, IF('Biodiversity Assessment'!K38=11,Biodiversity!AG$21, IF('Biodiversity Assessment'!K38=12,Biodiversity!AG$22, IF('Biodiversity Assessment'!K38=13,Biodiversity!AG$23, IF('Biodiversity Assessment'!K38=14,Biodiversity!AG$24, IF('Biodiversity Assessment'!K38=15,Biodiversity!AG$25, IF('Biodiversity Assessment'!K38=16,Biodiversity!AG$26, IF('Biodiversity Assessment'!K38=17,Biodiversity!AG$27, IF('Biodiversity Assessment'!K38=18,Biodiversity!AG$28, IF('Biodiversity Assessment'!K38=19,Biodiversity!AG$29, IF('Biodiversity Assessment'!K38=20,Biodiversity!AG$30, IF('Biodiversity Assessment'!K38=21,Biodiversity!AG$31, IF('Biodiversity Assessment'!K38=22,Biodiversity!AG$32, IF('Biodiversity Assessment'!K38=23,Biodiversity!AG$33, IF('Biodiversity Assessment'!K38=24,Biodiversity!AG$34, IF('Biodiversity Assessment'!K38=25,Biodiversity!AG$35, IF('Biodiversity Assessment'!K38=26,Biodiversity!AG$36, IF('Biodiversity Assessment'!K38=27,Biodiversity!AG$37, IF('Biodiversity Assessment'!K38=28,Biodiversity!AG$38, IF('Biodiversity Assessment'!K38=29,Biodiversity!AG$39, IF('Biodiversity Assessment'!K38=30,Biodiversity!AG$40, IF('Biodiversity Assessment'!K38="?","Artificial"))))))))))))))))))))))))))))))))</f>
        <v/>
      </c>
      <c r="BJ38" s="163" t="str">
        <f>IF(R38="","",IF(S38=1,Biodiversity!AJ$11,IF('Biodiversity Assessment'!S38=2,Biodiversity!AJ$12, IF('Biodiversity Assessment'!S38=3,Biodiversity!AJ$13, IF('Biodiversity Assessment'!S38=4,Biodiversity!AJ$14, IF('Biodiversity Assessment'!S38=5,Biodiversity!AJ$15, IF('Biodiversity Assessment'!S38=6,Biodiversity!AJ$16, IF('Biodiversity Assessment'!S38=7,Biodiversity!AJ$17, IF('Biodiversity Assessment'!S38=8,Biodiversity!AJ$18, IF('Biodiversity Assessment'!S38=9,Biodiversity!AJ$19, IF('Biodiversity Assessment'!S38=10,Biodiversity!AJ$20, IF('Biodiversity Assessment'!S38=11,Biodiversity!AJ$21, IF('Biodiversity Assessment'!S38=12,Biodiversity!AJ$22, IF('Biodiversity Assessment'!S38=13,Biodiversity!AJ$23, IF('Biodiversity Assessment'!S38=14,Biodiversity!AJ$24, IF('Biodiversity Assessment'!S38=15,Biodiversity!AJ$25, IF('Biodiversity Assessment'!S38=16,Biodiversity!AJ$26, IF('Biodiversity Assessment'!S38=17,Biodiversity!AJ$27, IF('Biodiversity Assessment'!S38=18,Biodiversity!AJ$28, IF('Biodiversity Assessment'!S38=19,Biodiversity!AJ$29, IF('Biodiversity Assessment'!S38=20,Biodiversity!AJ$30, IF('Biodiversity Assessment'!S38=21,Biodiversity!AJ$31, IF('Biodiversity Assessment'!S38=22,Biodiversity!AJ$32, IF('Biodiversity Assessment'!S38=23,Biodiversity!AJ$33, IF('Biodiversity Assessment'!S38=24,Biodiversity!AJ$34, IF('Biodiversity Assessment'!S38=25,Biodiversity!AJ$35, IF('Biodiversity Assessment'!S38=26,Biodiversity!AJ$36, IF('Biodiversity Assessment'!S38=27,Biodiversity!AJ$37, IF('Biodiversity Assessment'!S38=28,Biodiversity!AJ$38, IF('Biodiversity Assessment'!S38=29,Biodiversity!AJ$39, IF('Biodiversity Assessment'!S38=30,Biodiversity!AJ$40, IF('Biodiversity Assessment'!S38="?","Artificial"))))))))))))))))))))))))))))))))</f>
        <v/>
      </c>
      <c r="BL38" s="164">
        <v>0</v>
      </c>
      <c r="BN38" s="164">
        <v>0</v>
      </c>
      <c r="BP38" s="375"/>
      <c r="BQ38" s="375"/>
      <c r="BR38" s="378" t="str">
        <f>Biodiversity!K31</f>
        <v>?</v>
      </c>
      <c r="BT38" s="378" t="str">
        <f>Biodiversity!L31</f>
        <v>?</v>
      </c>
      <c r="BV38" s="378" t="str">
        <f>Biodiversity!M31</f>
        <v>?</v>
      </c>
      <c r="BX38" s="378" t="str">
        <f>Biodiversity!N31</f>
        <v>?</v>
      </c>
      <c r="BZ38" s="378" t="str">
        <f>Biodiversity!O31</f>
        <v>?</v>
      </c>
      <c r="CB38" s="378" t="str">
        <f>Biodiversity!P31</f>
        <v>?</v>
      </c>
      <c r="CD38" s="378" t="str">
        <f>Biodiversity!R31</f>
        <v>?</v>
      </c>
      <c r="CF38" s="378" t="str">
        <f>Biodiversity!S31</f>
        <v>?</v>
      </c>
      <c r="CH38" s="378">
        <f>IF($BL$15=Data!$D$42,'Biodiversity Assessment'!BL38/100,IF($BL$15=Data!$D$43,'Biodiversity Assessment'!BL38/60,IF($BL$15=Data!$D$44,'Biodiversity Assessment'!BL38/50,"?")))</f>
        <v>0</v>
      </c>
      <c r="CJ38" s="378">
        <f>IF($BL$15=Data!$D$42,'Biodiversity Assessment'!BN38/100,IF($BL$15=Data!$D$43,'Biodiversity Assessment'!BN38/60,IF($BL$15=Data!$D$44,'Biodiversity Assessment'!BN38/50,"?")))</f>
        <v>0</v>
      </c>
      <c r="CN38" s="165">
        <f>'ESVD - Social Value of Bio'!G23</f>
        <v>0</v>
      </c>
      <c r="CO38" s="380"/>
      <c r="CP38" s="165" t="str">
        <f>IF('ESVD - Social Value of Bio'!H23=0," ",'ESVD - Social Value of Bio'!H23)</f>
        <v xml:space="preserve"> </v>
      </c>
      <c r="CQ38" s="380"/>
      <c r="CR38" s="382"/>
      <c r="CT38" s="165">
        <f>'ESVD - Social Value of Bio'!U23</f>
        <v>0</v>
      </c>
      <c r="CU38" s="380"/>
      <c r="CV38" s="165" t="str">
        <f>IF('ESVD - Social Value of Bio'!V23=0," ",'ESVD - Social Value of Bio'!V23)</f>
        <v xml:space="preserve"> </v>
      </c>
      <c r="CX38" s="381"/>
    </row>
    <row r="39" spans="1:102" s="188" customFormat="1" ht="16.5" customHeight="1" x14ac:dyDescent="0.3">
      <c r="A39" s="135"/>
      <c r="B39" s="419"/>
      <c r="C39" s="135"/>
      <c r="D39" s="135"/>
      <c r="E39" s="372" t="s">
        <v>399</v>
      </c>
      <c r="G39" s="415" t="s">
        <v>31</v>
      </c>
      <c r="H39" s="415"/>
      <c r="I39" s="415"/>
      <c r="J39" s="373" t="str">
        <f t="shared" si="2"/>
        <v/>
      </c>
      <c r="K39" s="370" t="s">
        <v>9</v>
      </c>
      <c r="M39" s="381">
        <v>0</v>
      </c>
      <c r="O39" s="415" t="s">
        <v>31</v>
      </c>
      <c r="P39" s="415"/>
      <c r="Q39" s="415"/>
      <c r="R39" s="373" t="str">
        <f t="shared" si="1"/>
        <v/>
      </c>
      <c r="S39" s="370" t="s">
        <v>9</v>
      </c>
      <c r="T39" s="373"/>
      <c r="U39" s="381">
        <v>0</v>
      </c>
      <c r="BD39" s="382">
        <v>0</v>
      </c>
      <c r="BE39" s="377"/>
      <c r="BF39" s="382">
        <v>0</v>
      </c>
      <c r="BH39" s="163" t="str">
        <f>IF(J39="","",IF(K39=1,Biodiversity!AG$11,IF('Biodiversity Assessment'!K39=2,Biodiversity!AG$12, IF('Biodiversity Assessment'!K39=3,Biodiversity!AG$13, IF('Biodiversity Assessment'!K39=4,Biodiversity!AG$14, IF('Biodiversity Assessment'!K39=5,Biodiversity!AG$15, IF('Biodiversity Assessment'!K39=6,Biodiversity!AG$16, IF('Biodiversity Assessment'!K39=7,Biodiversity!AG$17, IF('Biodiversity Assessment'!K39=8,Biodiversity!AG$18, IF('Biodiversity Assessment'!K39=9,Biodiversity!AG$19, IF('Biodiversity Assessment'!K39=10,Biodiversity!AG$20, IF('Biodiversity Assessment'!K39=11,Biodiversity!AG$21, IF('Biodiversity Assessment'!K39=12,Biodiversity!AG$22, IF('Biodiversity Assessment'!K39=13,Biodiversity!AG$23, IF('Biodiversity Assessment'!K39=14,Biodiversity!AG$24, IF('Biodiversity Assessment'!K39=15,Biodiversity!AG$25, IF('Biodiversity Assessment'!K39=16,Biodiversity!AG$26, IF('Biodiversity Assessment'!K39=17,Biodiversity!AG$27, IF('Biodiversity Assessment'!K39=18,Biodiversity!AG$28, IF('Biodiversity Assessment'!K39=19,Biodiversity!AG$29, IF('Biodiversity Assessment'!K39=20,Biodiversity!AG$30, IF('Biodiversity Assessment'!K39=21,Biodiversity!AG$31, IF('Biodiversity Assessment'!K39=22,Biodiversity!AG$32, IF('Biodiversity Assessment'!K39=23,Biodiversity!AG$33, IF('Biodiversity Assessment'!K39=24,Biodiversity!AG$34, IF('Biodiversity Assessment'!K39=25,Biodiversity!AG$35, IF('Biodiversity Assessment'!K39=26,Biodiversity!AG$36, IF('Biodiversity Assessment'!K39=27,Biodiversity!AG$37, IF('Biodiversity Assessment'!K39=28,Biodiversity!AG$38, IF('Biodiversity Assessment'!K39=29,Biodiversity!AG$39, IF('Biodiversity Assessment'!K39=30,Biodiversity!AG$40, IF('Biodiversity Assessment'!K39="?","Artificial"))))))))))))))))))))))))))))))))</f>
        <v/>
      </c>
      <c r="BJ39" s="163" t="str">
        <f>IF(R39="","",IF(S39=1,Biodiversity!AJ$11,IF('Biodiversity Assessment'!S39=2,Biodiversity!AJ$12, IF('Biodiversity Assessment'!S39=3,Biodiversity!AJ$13, IF('Biodiversity Assessment'!S39=4,Biodiversity!AJ$14, IF('Biodiversity Assessment'!S39=5,Biodiversity!AJ$15, IF('Biodiversity Assessment'!S39=6,Biodiversity!AJ$16, IF('Biodiversity Assessment'!S39=7,Biodiversity!AJ$17, IF('Biodiversity Assessment'!S39=8,Biodiversity!AJ$18, IF('Biodiversity Assessment'!S39=9,Biodiversity!AJ$19, IF('Biodiversity Assessment'!S39=10,Biodiversity!AJ$20, IF('Biodiversity Assessment'!S39=11,Biodiversity!AJ$21, IF('Biodiversity Assessment'!S39=12,Biodiversity!AJ$22, IF('Biodiversity Assessment'!S39=13,Biodiversity!AJ$23, IF('Biodiversity Assessment'!S39=14,Biodiversity!AJ$24, IF('Biodiversity Assessment'!S39=15,Biodiversity!AJ$25, IF('Biodiversity Assessment'!S39=16,Biodiversity!AJ$26, IF('Biodiversity Assessment'!S39=17,Biodiversity!AJ$27, IF('Biodiversity Assessment'!S39=18,Biodiversity!AJ$28, IF('Biodiversity Assessment'!S39=19,Biodiversity!AJ$29, IF('Biodiversity Assessment'!S39=20,Biodiversity!AJ$30, IF('Biodiversity Assessment'!S39=21,Biodiversity!AJ$31, IF('Biodiversity Assessment'!S39=22,Biodiversity!AJ$32, IF('Biodiversity Assessment'!S39=23,Biodiversity!AJ$33, IF('Biodiversity Assessment'!S39=24,Biodiversity!AJ$34, IF('Biodiversity Assessment'!S39=25,Biodiversity!AJ$35, IF('Biodiversity Assessment'!S39=26,Biodiversity!AJ$36, IF('Biodiversity Assessment'!S39=27,Biodiversity!AJ$37, IF('Biodiversity Assessment'!S39=28,Biodiversity!AJ$38, IF('Biodiversity Assessment'!S39=29,Biodiversity!AJ$39, IF('Biodiversity Assessment'!S39=30,Biodiversity!AJ$40, IF('Biodiversity Assessment'!S39="?","Artificial"))))))))))))))))))))))))))))))))</f>
        <v/>
      </c>
      <c r="BL39" s="164">
        <v>0</v>
      </c>
      <c r="BN39" s="164">
        <v>0</v>
      </c>
      <c r="BP39" s="375"/>
      <c r="BQ39" s="375"/>
      <c r="BR39" s="378" t="str">
        <f>Biodiversity!K32</f>
        <v>?</v>
      </c>
      <c r="BT39" s="378" t="str">
        <f>Biodiversity!L32</f>
        <v>?</v>
      </c>
      <c r="BV39" s="378" t="str">
        <f>Biodiversity!M32</f>
        <v>?</v>
      </c>
      <c r="BX39" s="378" t="str">
        <f>Biodiversity!N32</f>
        <v>?</v>
      </c>
      <c r="BZ39" s="378" t="str">
        <f>Biodiversity!O32</f>
        <v>?</v>
      </c>
      <c r="CB39" s="378" t="str">
        <f>Biodiversity!P32</f>
        <v>?</v>
      </c>
      <c r="CD39" s="378" t="str">
        <f>Biodiversity!R32</f>
        <v>?</v>
      </c>
      <c r="CF39" s="378" t="str">
        <f>Biodiversity!S32</f>
        <v>?</v>
      </c>
      <c r="CH39" s="378">
        <f>IF($BL$15=Data!$D$42,'Biodiversity Assessment'!BL39/100,IF($BL$15=Data!$D$43,'Biodiversity Assessment'!BL39/60,IF($BL$15=Data!$D$44,'Biodiversity Assessment'!BL39/50,"?")))</f>
        <v>0</v>
      </c>
      <c r="CJ39" s="378">
        <f>IF($BL$15=Data!$D$42,'Biodiversity Assessment'!BN39/100,IF($BL$15=Data!$D$43,'Biodiversity Assessment'!BN39/60,IF($BL$15=Data!$D$44,'Biodiversity Assessment'!BN39/50,"?")))</f>
        <v>0</v>
      </c>
      <c r="CN39" s="165">
        <f>'ESVD - Social Value of Bio'!G24</f>
        <v>0</v>
      </c>
      <c r="CO39" s="380"/>
      <c r="CP39" s="165" t="str">
        <f>IF('ESVD - Social Value of Bio'!H24=0," ",'ESVD - Social Value of Bio'!H24)</f>
        <v xml:space="preserve"> </v>
      </c>
      <c r="CQ39" s="380"/>
      <c r="CR39" s="382"/>
      <c r="CT39" s="165">
        <f>'ESVD - Social Value of Bio'!U24</f>
        <v>0</v>
      </c>
      <c r="CU39" s="380"/>
      <c r="CV39" s="165" t="str">
        <f>IF('ESVD - Social Value of Bio'!V24=0," ",'ESVD - Social Value of Bio'!V24)</f>
        <v xml:space="preserve"> </v>
      </c>
      <c r="CX39" s="381"/>
    </row>
    <row r="40" spans="1:102" s="188" customFormat="1" ht="16.5" customHeight="1" x14ac:dyDescent="0.3">
      <c r="A40" s="135"/>
      <c r="B40" s="419"/>
      <c r="C40" s="135"/>
      <c r="D40" s="135"/>
      <c r="E40" s="372" t="s">
        <v>400</v>
      </c>
      <c r="G40" s="415" t="s">
        <v>31</v>
      </c>
      <c r="H40" s="415"/>
      <c r="I40" s="415"/>
      <c r="J40" s="373" t="str">
        <f t="shared" si="2"/>
        <v/>
      </c>
      <c r="K40" s="370" t="s">
        <v>9</v>
      </c>
      <c r="M40" s="381">
        <v>0</v>
      </c>
      <c r="O40" s="415" t="s">
        <v>31</v>
      </c>
      <c r="P40" s="415"/>
      <c r="Q40" s="415"/>
      <c r="R40" s="373" t="str">
        <f t="shared" si="1"/>
        <v/>
      </c>
      <c r="S40" s="370" t="s">
        <v>9</v>
      </c>
      <c r="T40" s="373"/>
      <c r="U40" s="381">
        <v>0</v>
      </c>
      <c r="BD40" s="382">
        <v>0</v>
      </c>
      <c r="BE40" s="377"/>
      <c r="BF40" s="382">
        <v>0</v>
      </c>
      <c r="BH40" s="163" t="str">
        <f>IF(J40="","",IF(K40=1,Biodiversity!AG$11,IF('Biodiversity Assessment'!K40=2,Biodiversity!AG$12, IF('Biodiversity Assessment'!K40=3,Biodiversity!AG$13, IF('Biodiversity Assessment'!K40=4,Biodiversity!AG$14, IF('Biodiversity Assessment'!K40=5,Biodiversity!AG$15, IF('Biodiversity Assessment'!K40=6,Biodiversity!AG$16, IF('Biodiversity Assessment'!K40=7,Biodiversity!AG$17, IF('Biodiversity Assessment'!K40=8,Biodiversity!AG$18, IF('Biodiversity Assessment'!K40=9,Biodiversity!AG$19, IF('Biodiversity Assessment'!K40=10,Biodiversity!AG$20, IF('Biodiversity Assessment'!K40=11,Biodiversity!AG$21, IF('Biodiversity Assessment'!K40=12,Biodiversity!AG$22, IF('Biodiversity Assessment'!K40=13,Biodiversity!AG$23, IF('Biodiversity Assessment'!K40=14,Biodiversity!AG$24, IF('Biodiversity Assessment'!K40=15,Biodiversity!AG$25, IF('Biodiversity Assessment'!K40=16,Biodiversity!AG$26, IF('Biodiversity Assessment'!K40=17,Biodiversity!AG$27, IF('Biodiversity Assessment'!K40=18,Biodiversity!AG$28, IF('Biodiversity Assessment'!K40=19,Biodiversity!AG$29, IF('Biodiversity Assessment'!K40=20,Biodiversity!AG$30, IF('Biodiversity Assessment'!K40=21,Biodiversity!AG$31, IF('Biodiversity Assessment'!K40=22,Biodiversity!AG$32, IF('Biodiversity Assessment'!K40=23,Biodiversity!AG$33, IF('Biodiversity Assessment'!K40=24,Biodiversity!AG$34, IF('Biodiversity Assessment'!K40=25,Biodiversity!AG$35, IF('Biodiversity Assessment'!K40=26,Biodiversity!AG$36, IF('Biodiversity Assessment'!K40=27,Biodiversity!AG$37, IF('Biodiversity Assessment'!K40=28,Biodiversity!AG$38, IF('Biodiversity Assessment'!K40=29,Biodiversity!AG$39, IF('Biodiversity Assessment'!K40=30,Biodiversity!AG$40, IF('Biodiversity Assessment'!K40="?","Artificial"))))))))))))))))))))))))))))))))</f>
        <v/>
      </c>
      <c r="BJ40" s="163" t="str">
        <f>IF(R40="","",IF(S40=1,Biodiversity!AJ$11,IF('Biodiversity Assessment'!S40=2,Biodiversity!AJ$12, IF('Biodiversity Assessment'!S40=3,Biodiversity!AJ$13, IF('Biodiversity Assessment'!S40=4,Biodiversity!AJ$14, IF('Biodiversity Assessment'!S40=5,Biodiversity!AJ$15, IF('Biodiversity Assessment'!S40=6,Biodiversity!AJ$16, IF('Biodiversity Assessment'!S40=7,Biodiversity!AJ$17, IF('Biodiversity Assessment'!S40=8,Biodiversity!AJ$18, IF('Biodiversity Assessment'!S40=9,Biodiversity!AJ$19, IF('Biodiversity Assessment'!S40=10,Biodiversity!AJ$20, IF('Biodiversity Assessment'!S40=11,Biodiversity!AJ$21, IF('Biodiversity Assessment'!S40=12,Biodiversity!AJ$22, IF('Biodiversity Assessment'!S40=13,Biodiversity!AJ$23, IF('Biodiversity Assessment'!S40=14,Biodiversity!AJ$24, IF('Biodiversity Assessment'!S40=15,Biodiversity!AJ$25, IF('Biodiversity Assessment'!S40=16,Biodiversity!AJ$26, IF('Biodiversity Assessment'!S40=17,Biodiversity!AJ$27, IF('Biodiversity Assessment'!S40=18,Biodiversity!AJ$28, IF('Biodiversity Assessment'!S40=19,Biodiversity!AJ$29, IF('Biodiversity Assessment'!S40=20,Biodiversity!AJ$30, IF('Biodiversity Assessment'!S40=21,Biodiversity!AJ$31, IF('Biodiversity Assessment'!S40=22,Biodiversity!AJ$32, IF('Biodiversity Assessment'!S40=23,Biodiversity!AJ$33, IF('Biodiversity Assessment'!S40=24,Biodiversity!AJ$34, IF('Biodiversity Assessment'!S40=25,Biodiversity!AJ$35, IF('Biodiversity Assessment'!S40=26,Biodiversity!AJ$36, IF('Biodiversity Assessment'!S40=27,Biodiversity!AJ$37, IF('Biodiversity Assessment'!S40=28,Biodiversity!AJ$38, IF('Biodiversity Assessment'!S40=29,Biodiversity!AJ$39, IF('Biodiversity Assessment'!S40=30,Biodiversity!AJ$40, IF('Biodiversity Assessment'!S40="?","Artificial"))))))))))))))))))))))))))))))))</f>
        <v/>
      </c>
      <c r="BL40" s="164">
        <v>0</v>
      </c>
      <c r="BN40" s="164">
        <v>0</v>
      </c>
      <c r="BP40" s="375"/>
      <c r="BQ40" s="375"/>
      <c r="BR40" s="378" t="str">
        <f>Biodiversity!K33</f>
        <v>?</v>
      </c>
      <c r="BT40" s="378" t="str">
        <f>Biodiversity!L33</f>
        <v>?</v>
      </c>
      <c r="BV40" s="378" t="str">
        <f>Biodiversity!M33</f>
        <v>?</v>
      </c>
      <c r="BX40" s="378" t="str">
        <f>Biodiversity!N33</f>
        <v>?</v>
      </c>
      <c r="BZ40" s="378" t="str">
        <f>Biodiversity!O33</f>
        <v>?</v>
      </c>
      <c r="CB40" s="378" t="str">
        <f>Biodiversity!P33</f>
        <v>?</v>
      </c>
      <c r="CD40" s="378" t="str">
        <f>Biodiversity!R33</f>
        <v>?</v>
      </c>
      <c r="CF40" s="378" t="str">
        <f>Biodiversity!S33</f>
        <v>?</v>
      </c>
      <c r="CH40" s="378">
        <f>IF($BL$15=Data!$D$42,'Biodiversity Assessment'!BL40/100,IF($BL$15=Data!$D$43,'Biodiversity Assessment'!BL40/60,IF($BL$15=Data!$D$44,'Biodiversity Assessment'!BL40/50,"?")))</f>
        <v>0</v>
      </c>
      <c r="CJ40" s="378">
        <f>IF($BL$15=Data!$D$42,'Biodiversity Assessment'!BN40/100,IF($BL$15=Data!$D$43,'Biodiversity Assessment'!BN40/60,IF($BL$15=Data!$D$44,'Biodiversity Assessment'!BN40/50,"?")))</f>
        <v>0</v>
      </c>
      <c r="CN40" s="165">
        <f>'ESVD - Social Value of Bio'!G25</f>
        <v>0</v>
      </c>
      <c r="CO40" s="380"/>
      <c r="CP40" s="165" t="str">
        <f>IF('ESVD - Social Value of Bio'!H25=0," ",'ESVD - Social Value of Bio'!H25)</f>
        <v xml:space="preserve"> </v>
      </c>
      <c r="CQ40" s="380"/>
      <c r="CR40" s="382"/>
      <c r="CT40" s="165">
        <f>'ESVD - Social Value of Bio'!U25</f>
        <v>0</v>
      </c>
      <c r="CU40" s="380"/>
      <c r="CV40" s="165" t="str">
        <f>IF('ESVD - Social Value of Bio'!V25=0," ",'ESVD - Social Value of Bio'!V25)</f>
        <v xml:space="preserve"> </v>
      </c>
      <c r="CX40" s="381"/>
    </row>
    <row r="41" spans="1:102" s="188" customFormat="1" ht="16.5" customHeight="1" x14ac:dyDescent="0.3">
      <c r="A41" s="135"/>
      <c r="B41" s="419"/>
      <c r="C41" s="135"/>
      <c r="D41" s="135"/>
      <c r="E41" s="372" t="s">
        <v>401</v>
      </c>
      <c r="G41" s="415" t="s">
        <v>31</v>
      </c>
      <c r="H41" s="415"/>
      <c r="I41" s="415"/>
      <c r="J41" s="373" t="str">
        <f t="shared" si="2"/>
        <v/>
      </c>
      <c r="K41" s="370" t="s">
        <v>9</v>
      </c>
      <c r="M41" s="381">
        <v>0</v>
      </c>
      <c r="O41" s="415" t="s">
        <v>31</v>
      </c>
      <c r="P41" s="415"/>
      <c r="Q41" s="415"/>
      <c r="R41" s="373" t="str">
        <f t="shared" si="1"/>
        <v/>
      </c>
      <c r="S41" s="370" t="s">
        <v>9</v>
      </c>
      <c r="T41" s="373"/>
      <c r="U41" s="381">
        <v>0</v>
      </c>
      <c r="BD41" s="382">
        <v>0</v>
      </c>
      <c r="BE41" s="377"/>
      <c r="BF41" s="382">
        <v>0</v>
      </c>
      <c r="BH41" s="163" t="str">
        <f>IF(J41="","",IF(K41=1,Biodiversity!AG$11,IF('Biodiversity Assessment'!K41=2,Biodiversity!AG$12, IF('Biodiversity Assessment'!K41=3,Biodiversity!AG$13, IF('Biodiversity Assessment'!K41=4,Biodiversity!AG$14, IF('Biodiversity Assessment'!K41=5,Biodiversity!AG$15, IF('Biodiversity Assessment'!K41=6,Biodiversity!AG$16, IF('Biodiversity Assessment'!K41=7,Biodiversity!AG$17, IF('Biodiversity Assessment'!K41=8,Biodiversity!AG$18, IF('Biodiversity Assessment'!K41=9,Biodiversity!AG$19, IF('Biodiversity Assessment'!K41=10,Biodiversity!AG$20, IF('Biodiversity Assessment'!K41=11,Biodiversity!AG$21, IF('Biodiversity Assessment'!K41=12,Biodiversity!AG$22, IF('Biodiversity Assessment'!K41=13,Biodiversity!AG$23, IF('Biodiversity Assessment'!K41=14,Biodiversity!AG$24, IF('Biodiversity Assessment'!K41=15,Biodiversity!AG$25, IF('Biodiversity Assessment'!K41=16,Biodiversity!AG$26, IF('Biodiversity Assessment'!K41=17,Biodiversity!AG$27, IF('Biodiversity Assessment'!K41=18,Biodiversity!AG$28, IF('Biodiversity Assessment'!K41=19,Biodiversity!AG$29, IF('Biodiversity Assessment'!K41=20,Biodiversity!AG$30, IF('Biodiversity Assessment'!K41=21,Biodiversity!AG$31, IF('Biodiversity Assessment'!K41=22,Biodiversity!AG$32, IF('Biodiversity Assessment'!K41=23,Biodiversity!AG$33, IF('Biodiversity Assessment'!K41=24,Biodiversity!AG$34, IF('Biodiversity Assessment'!K41=25,Biodiversity!AG$35, IF('Biodiversity Assessment'!K41=26,Biodiversity!AG$36, IF('Biodiversity Assessment'!K41=27,Biodiversity!AG$37, IF('Biodiversity Assessment'!K41=28,Biodiversity!AG$38, IF('Biodiversity Assessment'!K41=29,Biodiversity!AG$39, IF('Biodiversity Assessment'!K41=30,Biodiversity!AG$40, IF('Biodiversity Assessment'!K41="?","Artificial"))))))))))))))))))))))))))))))))</f>
        <v/>
      </c>
      <c r="BJ41" s="163" t="str">
        <f>IF(R41="","",IF(S41=1,Biodiversity!AJ$11,IF('Biodiversity Assessment'!S41=2,Biodiversity!AJ$12, IF('Biodiversity Assessment'!S41=3,Biodiversity!AJ$13, IF('Biodiversity Assessment'!S41=4,Biodiversity!AJ$14, IF('Biodiversity Assessment'!S41=5,Biodiversity!AJ$15, IF('Biodiversity Assessment'!S41=6,Biodiversity!AJ$16, IF('Biodiversity Assessment'!S41=7,Biodiversity!AJ$17, IF('Biodiversity Assessment'!S41=8,Biodiversity!AJ$18, IF('Biodiversity Assessment'!S41=9,Biodiversity!AJ$19, IF('Biodiversity Assessment'!S41=10,Biodiversity!AJ$20, IF('Biodiversity Assessment'!S41=11,Biodiversity!AJ$21, IF('Biodiversity Assessment'!S41=12,Biodiversity!AJ$22, IF('Biodiversity Assessment'!S41=13,Biodiversity!AJ$23, IF('Biodiversity Assessment'!S41=14,Biodiversity!AJ$24, IF('Biodiversity Assessment'!S41=15,Biodiversity!AJ$25, IF('Biodiversity Assessment'!S41=16,Biodiversity!AJ$26, IF('Biodiversity Assessment'!S41=17,Biodiversity!AJ$27, IF('Biodiversity Assessment'!S41=18,Biodiversity!AJ$28, IF('Biodiversity Assessment'!S41=19,Biodiversity!AJ$29, IF('Biodiversity Assessment'!S41=20,Biodiversity!AJ$30, IF('Biodiversity Assessment'!S41=21,Biodiversity!AJ$31, IF('Biodiversity Assessment'!S41=22,Biodiversity!AJ$32, IF('Biodiversity Assessment'!S41=23,Biodiversity!AJ$33, IF('Biodiversity Assessment'!S41=24,Biodiversity!AJ$34, IF('Biodiversity Assessment'!S41=25,Biodiversity!AJ$35, IF('Biodiversity Assessment'!S41=26,Biodiversity!AJ$36, IF('Biodiversity Assessment'!S41=27,Biodiversity!AJ$37, IF('Biodiversity Assessment'!S41=28,Biodiversity!AJ$38, IF('Biodiversity Assessment'!S41=29,Biodiversity!AJ$39, IF('Biodiversity Assessment'!S41=30,Biodiversity!AJ$40, IF('Biodiversity Assessment'!S41="?","Artificial"))))))))))))))))))))))))))))))))</f>
        <v/>
      </c>
      <c r="BL41" s="164">
        <v>0</v>
      </c>
      <c r="BN41" s="164">
        <v>0</v>
      </c>
      <c r="BP41" s="375"/>
      <c r="BQ41" s="375"/>
      <c r="BR41" s="378" t="str">
        <f>Biodiversity!K34</f>
        <v>?</v>
      </c>
      <c r="BT41" s="378" t="str">
        <f>Biodiversity!L34</f>
        <v>?</v>
      </c>
      <c r="BV41" s="378" t="str">
        <f>Biodiversity!M34</f>
        <v>?</v>
      </c>
      <c r="BX41" s="378" t="str">
        <f>Biodiversity!N34</f>
        <v>?</v>
      </c>
      <c r="BZ41" s="378" t="str">
        <f>Biodiversity!O34</f>
        <v>?</v>
      </c>
      <c r="CB41" s="378" t="str">
        <f>Biodiversity!P34</f>
        <v>?</v>
      </c>
      <c r="CD41" s="378" t="str">
        <f>Biodiversity!R34</f>
        <v>?</v>
      </c>
      <c r="CF41" s="378" t="str">
        <f>Biodiversity!S34</f>
        <v>?</v>
      </c>
      <c r="CH41" s="378">
        <f>IF($BL$15=Data!$D$42,'Biodiversity Assessment'!BL41/100,IF($BL$15=Data!$D$43,'Biodiversity Assessment'!BL41/60,IF($BL$15=Data!$D$44,'Biodiversity Assessment'!BL41/50,"?")))</f>
        <v>0</v>
      </c>
      <c r="CJ41" s="378">
        <f>IF($BL$15=Data!$D$42,'Biodiversity Assessment'!BN41/100,IF($BL$15=Data!$D$43,'Biodiversity Assessment'!BN41/60,IF($BL$15=Data!$D$44,'Biodiversity Assessment'!BN41/50,"?")))</f>
        <v>0</v>
      </c>
      <c r="CN41" s="165">
        <f>'ESVD - Social Value of Bio'!G26</f>
        <v>0</v>
      </c>
      <c r="CO41" s="380"/>
      <c r="CP41" s="165" t="str">
        <f>IF('ESVD - Social Value of Bio'!H26=0," ",'ESVD - Social Value of Bio'!H26)</f>
        <v xml:space="preserve"> </v>
      </c>
      <c r="CQ41" s="380"/>
      <c r="CR41" s="382"/>
      <c r="CT41" s="165">
        <f>'ESVD - Social Value of Bio'!U26</f>
        <v>0</v>
      </c>
      <c r="CU41" s="380"/>
      <c r="CV41" s="165" t="str">
        <f>IF('ESVD - Social Value of Bio'!V26=0," ",'ESVD - Social Value of Bio'!V26)</f>
        <v xml:space="preserve"> </v>
      </c>
      <c r="CX41" s="381"/>
    </row>
    <row r="42" spans="1:102" s="188" customFormat="1" ht="16.5" customHeight="1" x14ac:dyDescent="0.3">
      <c r="A42" s="135"/>
      <c r="B42" s="419"/>
      <c r="C42" s="135"/>
      <c r="D42" s="135"/>
      <c r="E42" s="372" t="s">
        <v>402</v>
      </c>
      <c r="G42" s="415" t="s">
        <v>31</v>
      </c>
      <c r="H42" s="415"/>
      <c r="I42" s="415"/>
      <c r="J42" s="373" t="str">
        <f t="shared" si="2"/>
        <v/>
      </c>
      <c r="K42" s="370" t="s">
        <v>9</v>
      </c>
      <c r="M42" s="381">
        <v>0</v>
      </c>
      <c r="O42" s="415" t="s">
        <v>31</v>
      </c>
      <c r="P42" s="415"/>
      <c r="Q42" s="415"/>
      <c r="R42" s="373" t="str">
        <f t="shared" si="1"/>
        <v/>
      </c>
      <c r="S42" s="370" t="s">
        <v>9</v>
      </c>
      <c r="T42" s="373"/>
      <c r="U42" s="381">
        <v>0</v>
      </c>
      <c r="BD42" s="382">
        <v>0</v>
      </c>
      <c r="BE42" s="377"/>
      <c r="BF42" s="382">
        <v>0</v>
      </c>
      <c r="BH42" s="163" t="str">
        <f>IF(J42="","",IF(K42=1,Biodiversity!AG$11,IF('Biodiversity Assessment'!K42=2,Biodiversity!AG$12, IF('Biodiversity Assessment'!K42=3,Biodiversity!AG$13, IF('Biodiversity Assessment'!K42=4,Biodiversity!AG$14, IF('Biodiversity Assessment'!K42=5,Biodiversity!AG$15, IF('Biodiversity Assessment'!K42=6,Biodiversity!AG$16, IF('Biodiversity Assessment'!K42=7,Biodiversity!AG$17, IF('Biodiversity Assessment'!K42=8,Biodiversity!AG$18, IF('Biodiversity Assessment'!K42=9,Biodiversity!AG$19, IF('Biodiversity Assessment'!K42=10,Biodiversity!AG$20, IF('Biodiversity Assessment'!K42=11,Biodiversity!AG$21, IF('Biodiversity Assessment'!K42=12,Biodiversity!AG$22, IF('Biodiversity Assessment'!K42=13,Biodiversity!AG$23, IF('Biodiversity Assessment'!K42=14,Biodiversity!AG$24, IF('Biodiversity Assessment'!K42=15,Biodiversity!AG$25, IF('Biodiversity Assessment'!K42=16,Biodiversity!AG$26, IF('Biodiversity Assessment'!K42=17,Biodiversity!AG$27, IF('Biodiversity Assessment'!K42=18,Biodiversity!AG$28, IF('Biodiversity Assessment'!K42=19,Biodiversity!AG$29, IF('Biodiversity Assessment'!K42=20,Biodiversity!AG$30, IF('Biodiversity Assessment'!K42=21,Biodiversity!AG$31, IF('Biodiversity Assessment'!K42=22,Biodiversity!AG$32, IF('Biodiversity Assessment'!K42=23,Biodiversity!AG$33, IF('Biodiversity Assessment'!K42=24,Biodiversity!AG$34, IF('Biodiversity Assessment'!K42=25,Biodiversity!AG$35, IF('Biodiversity Assessment'!K42=26,Biodiversity!AG$36, IF('Biodiversity Assessment'!K42=27,Biodiversity!AG$37, IF('Biodiversity Assessment'!K42=28,Biodiversity!AG$38, IF('Biodiversity Assessment'!K42=29,Biodiversity!AG$39, IF('Biodiversity Assessment'!K42=30,Biodiversity!AG$40, IF('Biodiversity Assessment'!K42="?","Artificial"))))))))))))))))))))))))))))))))</f>
        <v/>
      </c>
      <c r="BJ42" s="163" t="str">
        <f>IF(R42="","",IF(S42=1,Biodiversity!AJ$11,IF('Biodiversity Assessment'!S42=2,Biodiversity!AJ$12, IF('Biodiversity Assessment'!S42=3,Biodiversity!AJ$13, IF('Biodiversity Assessment'!S42=4,Biodiversity!AJ$14, IF('Biodiversity Assessment'!S42=5,Biodiversity!AJ$15, IF('Biodiversity Assessment'!S42=6,Biodiversity!AJ$16, IF('Biodiversity Assessment'!S42=7,Biodiversity!AJ$17, IF('Biodiversity Assessment'!S42=8,Biodiversity!AJ$18, IF('Biodiversity Assessment'!S42=9,Biodiversity!AJ$19, IF('Biodiversity Assessment'!S42=10,Biodiversity!AJ$20, IF('Biodiversity Assessment'!S42=11,Biodiversity!AJ$21, IF('Biodiversity Assessment'!S42=12,Biodiversity!AJ$22, IF('Biodiversity Assessment'!S42=13,Biodiversity!AJ$23, IF('Biodiversity Assessment'!S42=14,Biodiversity!AJ$24, IF('Biodiversity Assessment'!S42=15,Biodiversity!AJ$25, IF('Biodiversity Assessment'!S42=16,Biodiversity!AJ$26, IF('Biodiversity Assessment'!S42=17,Biodiversity!AJ$27, IF('Biodiversity Assessment'!S42=18,Biodiversity!AJ$28, IF('Biodiversity Assessment'!S42=19,Biodiversity!AJ$29, IF('Biodiversity Assessment'!S42=20,Biodiversity!AJ$30, IF('Biodiversity Assessment'!S42=21,Biodiversity!AJ$31, IF('Biodiversity Assessment'!S42=22,Biodiversity!AJ$32, IF('Biodiversity Assessment'!S42=23,Biodiversity!AJ$33, IF('Biodiversity Assessment'!S42=24,Biodiversity!AJ$34, IF('Biodiversity Assessment'!S42=25,Biodiversity!AJ$35, IF('Biodiversity Assessment'!S42=26,Biodiversity!AJ$36, IF('Biodiversity Assessment'!S42=27,Biodiversity!AJ$37, IF('Biodiversity Assessment'!S42=28,Biodiversity!AJ$38, IF('Biodiversity Assessment'!S42=29,Biodiversity!AJ$39, IF('Biodiversity Assessment'!S42=30,Biodiversity!AJ$40, IF('Biodiversity Assessment'!S42="?","Artificial"))))))))))))))))))))))))))))))))</f>
        <v/>
      </c>
      <c r="BL42" s="164">
        <v>0</v>
      </c>
      <c r="BN42" s="164">
        <v>0</v>
      </c>
      <c r="BP42" s="375"/>
      <c r="BQ42" s="375"/>
      <c r="BR42" s="378" t="str">
        <f>Biodiversity!K35</f>
        <v>?</v>
      </c>
      <c r="BT42" s="378" t="str">
        <f>Biodiversity!L35</f>
        <v>?</v>
      </c>
      <c r="BV42" s="378" t="str">
        <f>Biodiversity!M35</f>
        <v>?</v>
      </c>
      <c r="BX42" s="378" t="str">
        <f>Biodiversity!N35</f>
        <v>?</v>
      </c>
      <c r="BZ42" s="378" t="str">
        <f>Biodiversity!O35</f>
        <v>?</v>
      </c>
      <c r="CB42" s="378" t="str">
        <f>Biodiversity!P35</f>
        <v>?</v>
      </c>
      <c r="CD42" s="378" t="str">
        <f>Biodiversity!R35</f>
        <v>?</v>
      </c>
      <c r="CF42" s="378" t="str">
        <f>Biodiversity!S35</f>
        <v>?</v>
      </c>
      <c r="CH42" s="378">
        <f>IF($BL$15=Data!$D$42,'Biodiversity Assessment'!BL42/100,IF($BL$15=Data!$D$43,'Biodiversity Assessment'!BL42/60,IF($BL$15=Data!$D$44,'Biodiversity Assessment'!BL42/50,"?")))</f>
        <v>0</v>
      </c>
      <c r="CJ42" s="378">
        <f>IF($BL$15=Data!$D$42,'Biodiversity Assessment'!BN42/100,IF($BL$15=Data!$D$43,'Biodiversity Assessment'!BN42/60,IF($BL$15=Data!$D$44,'Biodiversity Assessment'!BN42/50,"?")))</f>
        <v>0</v>
      </c>
      <c r="CN42" s="165">
        <f>'ESVD - Social Value of Bio'!G27</f>
        <v>0</v>
      </c>
      <c r="CO42" s="380"/>
      <c r="CP42" s="165" t="str">
        <f>IF('ESVD - Social Value of Bio'!H27=0," ",'ESVD - Social Value of Bio'!H27)</f>
        <v xml:space="preserve"> </v>
      </c>
      <c r="CQ42" s="380"/>
      <c r="CR42" s="382"/>
      <c r="CT42" s="165">
        <f>'ESVD - Social Value of Bio'!U27</f>
        <v>0</v>
      </c>
      <c r="CU42" s="380"/>
      <c r="CV42" s="165" t="str">
        <f>IF('ESVD - Social Value of Bio'!V27=0," ",'ESVD - Social Value of Bio'!V27)</f>
        <v xml:space="preserve"> </v>
      </c>
      <c r="CX42" s="381"/>
    </row>
    <row r="43" spans="1:102" s="188" customFormat="1" ht="16.5" customHeight="1" x14ac:dyDescent="0.3">
      <c r="A43" s="135"/>
      <c r="B43" s="419"/>
      <c r="C43" s="135"/>
      <c r="D43" s="135"/>
      <c r="E43" s="372" t="s">
        <v>403</v>
      </c>
      <c r="G43" s="415" t="s">
        <v>31</v>
      </c>
      <c r="H43" s="415"/>
      <c r="I43" s="415"/>
      <c r="J43" s="373" t="str">
        <f t="shared" si="2"/>
        <v/>
      </c>
      <c r="K43" s="370" t="s">
        <v>9</v>
      </c>
      <c r="M43" s="381">
        <v>0</v>
      </c>
      <c r="O43" s="415" t="s">
        <v>31</v>
      </c>
      <c r="P43" s="415"/>
      <c r="Q43" s="415"/>
      <c r="R43" s="373" t="str">
        <f t="shared" si="1"/>
        <v/>
      </c>
      <c r="S43" s="370" t="s">
        <v>9</v>
      </c>
      <c r="T43" s="373"/>
      <c r="U43" s="381">
        <v>0</v>
      </c>
      <c r="BD43" s="382">
        <v>0</v>
      </c>
      <c r="BE43" s="377"/>
      <c r="BF43" s="382">
        <v>0</v>
      </c>
      <c r="BH43" s="163" t="str">
        <f>IF(J43="","",IF(K43=1,Biodiversity!AG$11,IF('Biodiversity Assessment'!K43=2,Biodiversity!AG$12, IF('Biodiversity Assessment'!K43=3,Biodiversity!AG$13, IF('Biodiversity Assessment'!K43=4,Biodiversity!AG$14, IF('Biodiversity Assessment'!K43=5,Biodiversity!AG$15, IF('Biodiversity Assessment'!K43=6,Biodiversity!AG$16, IF('Biodiversity Assessment'!K43=7,Biodiversity!AG$17, IF('Biodiversity Assessment'!K43=8,Biodiversity!AG$18, IF('Biodiversity Assessment'!K43=9,Biodiversity!AG$19, IF('Biodiversity Assessment'!K43=10,Biodiversity!AG$20, IF('Biodiversity Assessment'!K43=11,Biodiversity!AG$21, IF('Biodiversity Assessment'!K43=12,Biodiversity!AG$22, IF('Biodiversity Assessment'!K43=13,Biodiversity!AG$23, IF('Biodiversity Assessment'!K43=14,Biodiversity!AG$24, IF('Biodiversity Assessment'!K43=15,Biodiversity!AG$25, IF('Biodiversity Assessment'!K43=16,Biodiversity!AG$26, IF('Biodiversity Assessment'!K43=17,Biodiversity!AG$27, IF('Biodiversity Assessment'!K43=18,Biodiversity!AG$28, IF('Biodiversity Assessment'!K43=19,Biodiversity!AG$29, IF('Biodiversity Assessment'!K43=20,Biodiversity!AG$30, IF('Biodiversity Assessment'!K43=21,Biodiversity!AG$31, IF('Biodiversity Assessment'!K43=22,Biodiversity!AG$32, IF('Biodiversity Assessment'!K43=23,Biodiversity!AG$33, IF('Biodiversity Assessment'!K43=24,Biodiversity!AG$34, IF('Biodiversity Assessment'!K43=25,Biodiversity!AG$35, IF('Biodiversity Assessment'!K43=26,Biodiversity!AG$36, IF('Biodiversity Assessment'!K43=27,Biodiversity!AG$37, IF('Biodiversity Assessment'!K43=28,Biodiversity!AG$38, IF('Biodiversity Assessment'!K43=29,Biodiversity!AG$39, IF('Biodiversity Assessment'!K43=30,Biodiversity!AG$40, IF('Biodiversity Assessment'!K43="?","Artificial"))))))))))))))))))))))))))))))))</f>
        <v/>
      </c>
      <c r="BJ43" s="163" t="str">
        <f>IF(R43="","",IF(S43=1,Biodiversity!AJ$11,IF('Biodiversity Assessment'!S43=2,Biodiversity!AJ$12, IF('Biodiversity Assessment'!S43=3,Biodiversity!AJ$13, IF('Biodiversity Assessment'!S43=4,Biodiversity!AJ$14, IF('Biodiversity Assessment'!S43=5,Biodiversity!AJ$15, IF('Biodiversity Assessment'!S43=6,Biodiversity!AJ$16, IF('Biodiversity Assessment'!S43=7,Biodiversity!AJ$17, IF('Biodiversity Assessment'!S43=8,Biodiversity!AJ$18, IF('Biodiversity Assessment'!S43=9,Biodiversity!AJ$19, IF('Biodiversity Assessment'!S43=10,Biodiversity!AJ$20, IF('Biodiversity Assessment'!S43=11,Biodiversity!AJ$21, IF('Biodiversity Assessment'!S43=12,Biodiversity!AJ$22, IF('Biodiversity Assessment'!S43=13,Biodiversity!AJ$23, IF('Biodiversity Assessment'!S43=14,Biodiversity!AJ$24, IF('Biodiversity Assessment'!S43=15,Biodiversity!AJ$25, IF('Biodiversity Assessment'!S43=16,Biodiversity!AJ$26, IF('Biodiversity Assessment'!S43=17,Biodiversity!AJ$27, IF('Biodiversity Assessment'!S43=18,Biodiversity!AJ$28, IF('Biodiversity Assessment'!S43=19,Biodiversity!AJ$29, IF('Biodiversity Assessment'!S43=20,Biodiversity!AJ$30, IF('Biodiversity Assessment'!S43=21,Biodiversity!AJ$31, IF('Biodiversity Assessment'!S43=22,Biodiversity!AJ$32, IF('Biodiversity Assessment'!S43=23,Biodiversity!AJ$33, IF('Biodiversity Assessment'!S43=24,Biodiversity!AJ$34, IF('Biodiversity Assessment'!S43=25,Biodiversity!AJ$35, IF('Biodiversity Assessment'!S43=26,Biodiversity!AJ$36, IF('Biodiversity Assessment'!S43=27,Biodiversity!AJ$37, IF('Biodiversity Assessment'!S43=28,Biodiversity!AJ$38, IF('Biodiversity Assessment'!S43=29,Biodiversity!AJ$39, IF('Biodiversity Assessment'!S43=30,Biodiversity!AJ$40, IF('Biodiversity Assessment'!S43="?","Artificial"))))))))))))))))))))))))))))))))</f>
        <v/>
      </c>
      <c r="BL43" s="164">
        <v>0</v>
      </c>
      <c r="BN43" s="164">
        <v>0</v>
      </c>
      <c r="BP43" s="375"/>
      <c r="BQ43" s="375"/>
      <c r="BR43" s="378" t="str">
        <f>Biodiversity!K36</f>
        <v>?</v>
      </c>
      <c r="BT43" s="378" t="str">
        <f>Biodiversity!L36</f>
        <v>?</v>
      </c>
      <c r="BV43" s="378" t="str">
        <f>Biodiversity!M36</f>
        <v>?</v>
      </c>
      <c r="BX43" s="378" t="str">
        <f>Biodiversity!N36</f>
        <v>?</v>
      </c>
      <c r="BZ43" s="378" t="str">
        <f>Biodiversity!O36</f>
        <v>?</v>
      </c>
      <c r="CB43" s="378" t="str">
        <f>Biodiversity!P36</f>
        <v>?</v>
      </c>
      <c r="CD43" s="378" t="str">
        <f>Biodiversity!R36</f>
        <v>?</v>
      </c>
      <c r="CF43" s="378" t="str">
        <f>Biodiversity!S36</f>
        <v>?</v>
      </c>
      <c r="CH43" s="378">
        <f>IF($BL$15=Data!$D$42,'Biodiversity Assessment'!BL43/100,IF($BL$15=Data!$D$43,'Biodiversity Assessment'!BL43/60,IF($BL$15=Data!$D$44,'Biodiversity Assessment'!BL43/50,"?")))</f>
        <v>0</v>
      </c>
      <c r="CJ43" s="378">
        <f>IF($BL$15=Data!$D$42,'Biodiversity Assessment'!BN43/100,IF($BL$15=Data!$D$43,'Biodiversity Assessment'!BN43/60,IF($BL$15=Data!$D$44,'Biodiversity Assessment'!BN43/50,"?")))</f>
        <v>0</v>
      </c>
      <c r="CN43" s="165">
        <f>'ESVD - Social Value of Bio'!G28</f>
        <v>0</v>
      </c>
      <c r="CO43" s="380"/>
      <c r="CP43" s="165" t="str">
        <f>IF('ESVD - Social Value of Bio'!H28=0," ",'ESVD - Social Value of Bio'!H28)</f>
        <v xml:space="preserve"> </v>
      </c>
      <c r="CQ43" s="380"/>
      <c r="CR43" s="382"/>
      <c r="CT43" s="165">
        <f>'ESVD - Social Value of Bio'!U28</f>
        <v>0</v>
      </c>
      <c r="CU43" s="380"/>
      <c r="CV43" s="165" t="str">
        <f>IF('ESVD - Social Value of Bio'!V28=0," ",'ESVD - Social Value of Bio'!V28)</f>
        <v xml:space="preserve"> </v>
      </c>
      <c r="CX43" s="381"/>
    </row>
    <row r="44" spans="1:102" s="188" customFormat="1" ht="16.5" customHeight="1" x14ac:dyDescent="0.3">
      <c r="A44" s="135"/>
      <c r="B44" s="419"/>
      <c r="C44" s="135"/>
      <c r="D44" s="135"/>
      <c r="E44" s="372" t="s">
        <v>404</v>
      </c>
      <c r="G44" s="415" t="s">
        <v>31</v>
      </c>
      <c r="H44" s="415"/>
      <c r="I44" s="415"/>
      <c r="J44" s="373" t="str">
        <f t="shared" si="2"/>
        <v/>
      </c>
      <c r="K44" s="370" t="s">
        <v>9</v>
      </c>
      <c r="M44" s="381">
        <v>0</v>
      </c>
      <c r="O44" s="415" t="s">
        <v>31</v>
      </c>
      <c r="P44" s="415"/>
      <c r="Q44" s="415"/>
      <c r="R44" s="373" t="str">
        <f t="shared" si="1"/>
        <v/>
      </c>
      <c r="S44" s="370" t="s">
        <v>9</v>
      </c>
      <c r="T44" s="373"/>
      <c r="U44" s="381">
        <v>0</v>
      </c>
      <c r="BD44" s="382">
        <v>0</v>
      </c>
      <c r="BE44" s="377"/>
      <c r="BF44" s="382">
        <v>0</v>
      </c>
      <c r="BH44" s="163" t="str">
        <f>IF(J44="","",IF(K44=1,Biodiversity!AG$11,IF('Biodiversity Assessment'!K44=2,Biodiversity!AG$12, IF('Biodiversity Assessment'!K44=3,Biodiversity!AG$13, IF('Biodiversity Assessment'!K44=4,Biodiversity!AG$14, IF('Biodiversity Assessment'!K44=5,Biodiversity!AG$15, IF('Biodiversity Assessment'!K44=6,Biodiversity!AG$16, IF('Biodiversity Assessment'!K44=7,Biodiversity!AG$17, IF('Biodiversity Assessment'!K44=8,Biodiversity!AG$18, IF('Biodiversity Assessment'!K44=9,Biodiversity!AG$19, IF('Biodiversity Assessment'!K44=10,Biodiversity!AG$20, IF('Biodiversity Assessment'!K44=11,Biodiversity!AG$21, IF('Biodiversity Assessment'!K44=12,Biodiversity!AG$22, IF('Biodiversity Assessment'!K44=13,Biodiversity!AG$23, IF('Biodiversity Assessment'!K44=14,Biodiversity!AG$24, IF('Biodiversity Assessment'!K44=15,Biodiversity!AG$25, IF('Biodiversity Assessment'!K44=16,Biodiversity!AG$26, IF('Biodiversity Assessment'!K44=17,Biodiversity!AG$27, IF('Biodiversity Assessment'!K44=18,Biodiversity!AG$28, IF('Biodiversity Assessment'!K44=19,Biodiversity!AG$29, IF('Biodiversity Assessment'!K44=20,Biodiversity!AG$30, IF('Biodiversity Assessment'!K44=21,Biodiversity!AG$31, IF('Biodiversity Assessment'!K44=22,Biodiversity!AG$32, IF('Biodiversity Assessment'!K44=23,Biodiversity!AG$33, IF('Biodiversity Assessment'!K44=24,Biodiversity!AG$34, IF('Biodiversity Assessment'!K44=25,Biodiversity!AG$35, IF('Biodiversity Assessment'!K44=26,Biodiversity!AG$36, IF('Biodiversity Assessment'!K44=27,Biodiversity!AG$37, IF('Biodiversity Assessment'!K44=28,Biodiversity!AG$38, IF('Biodiversity Assessment'!K44=29,Biodiversity!AG$39, IF('Biodiversity Assessment'!K44=30,Biodiversity!AG$40, IF('Biodiversity Assessment'!K44="?","Artificial"))))))))))))))))))))))))))))))))</f>
        <v/>
      </c>
      <c r="BJ44" s="163" t="str">
        <f>IF(R44="","",IF(S44=1,Biodiversity!AJ$11,IF('Biodiversity Assessment'!S44=2,Biodiversity!AJ$12, IF('Biodiversity Assessment'!S44=3,Biodiversity!AJ$13, IF('Biodiversity Assessment'!S44=4,Biodiversity!AJ$14, IF('Biodiversity Assessment'!S44=5,Biodiversity!AJ$15, IF('Biodiversity Assessment'!S44=6,Biodiversity!AJ$16, IF('Biodiversity Assessment'!S44=7,Biodiversity!AJ$17, IF('Biodiversity Assessment'!S44=8,Biodiversity!AJ$18, IF('Biodiversity Assessment'!S44=9,Biodiversity!AJ$19, IF('Biodiversity Assessment'!S44=10,Biodiversity!AJ$20, IF('Biodiversity Assessment'!S44=11,Biodiversity!AJ$21, IF('Biodiversity Assessment'!S44=12,Biodiversity!AJ$22, IF('Biodiversity Assessment'!S44=13,Biodiversity!AJ$23, IF('Biodiversity Assessment'!S44=14,Biodiversity!AJ$24, IF('Biodiversity Assessment'!S44=15,Biodiversity!AJ$25, IF('Biodiversity Assessment'!S44=16,Biodiversity!AJ$26, IF('Biodiversity Assessment'!S44=17,Biodiversity!AJ$27, IF('Biodiversity Assessment'!S44=18,Biodiversity!AJ$28, IF('Biodiversity Assessment'!S44=19,Biodiversity!AJ$29, IF('Biodiversity Assessment'!S44=20,Biodiversity!AJ$30, IF('Biodiversity Assessment'!S44=21,Biodiversity!AJ$31, IF('Biodiversity Assessment'!S44=22,Biodiversity!AJ$32, IF('Biodiversity Assessment'!S44=23,Biodiversity!AJ$33, IF('Biodiversity Assessment'!S44=24,Biodiversity!AJ$34, IF('Biodiversity Assessment'!S44=25,Biodiversity!AJ$35, IF('Biodiversity Assessment'!S44=26,Biodiversity!AJ$36, IF('Biodiversity Assessment'!S44=27,Biodiversity!AJ$37, IF('Biodiversity Assessment'!S44=28,Biodiversity!AJ$38, IF('Biodiversity Assessment'!S44=29,Biodiversity!AJ$39, IF('Biodiversity Assessment'!S44=30,Biodiversity!AJ$40, IF('Biodiversity Assessment'!S44="?","Artificial"))))))))))))))))))))))))))))))))</f>
        <v/>
      </c>
      <c r="BL44" s="164">
        <v>0</v>
      </c>
      <c r="BN44" s="164">
        <v>0</v>
      </c>
      <c r="BP44" s="375"/>
      <c r="BQ44" s="375"/>
      <c r="BR44" s="378" t="str">
        <f>Biodiversity!K37</f>
        <v>?</v>
      </c>
      <c r="BT44" s="378" t="str">
        <f>Biodiversity!L37</f>
        <v>?</v>
      </c>
      <c r="BV44" s="378" t="str">
        <f>Biodiversity!M37</f>
        <v>?</v>
      </c>
      <c r="BX44" s="378" t="str">
        <f>Biodiversity!N37</f>
        <v>?</v>
      </c>
      <c r="BZ44" s="378" t="str">
        <f>Biodiversity!O37</f>
        <v>?</v>
      </c>
      <c r="CB44" s="378" t="str">
        <f>Biodiversity!P37</f>
        <v>?</v>
      </c>
      <c r="CD44" s="378" t="str">
        <f>Biodiversity!R37</f>
        <v>?</v>
      </c>
      <c r="CF44" s="378" t="str">
        <f>Biodiversity!S37</f>
        <v>?</v>
      </c>
      <c r="CH44" s="378">
        <f>IF($BL$15=Data!$D$42,'Biodiversity Assessment'!BL44/100,IF($BL$15=Data!$D$43,'Biodiversity Assessment'!BL44/60,IF($BL$15=Data!$D$44,'Biodiversity Assessment'!BL44/50,"?")))</f>
        <v>0</v>
      </c>
      <c r="CJ44" s="378">
        <f>IF($BL$15=Data!$D$42,'Biodiversity Assessment'!BN44/100,IF($BL$15=Data!$D$43,'Biodiversity Assessment'!BN44/60,IF($BL$15=Data!$D$44,'Biodiversity Assessment'!BN44/50,"?")))</f>
        <v>0</v>
      </c>
      <c r="CN44" s="165">
        <f>'ESVD - Social Value of Bio'!G29</f>
        <v>0</v>
      </c>
      <c r="CO44" s="380"/>
      <c r="CP44" s="165" t="str">
        <f>IF('ESVD - Social Value of Bio'!H29=0," ",'ESVD - Social Value of Bio'!H29)</f>
        <v xml:space="preserve"> </v>
      </c>
      <c r="CQ44" s="380"/>
      <c r="CR44" s="382"/>
      <c r="CT44" s="165">
        <f>'ESVD - Social Value of Bio'!U29</f>
        <v>0</v>
      </c>
      <c r="CU44" s="380"/>
      <c r="CV44" s="165" t="str">
        <f>IF('ESVD - Social Value of Bio'!V29=0," ",'ESVD - Social Value of Bio'!V29)</f>
        <v xml:space="preserve"> </v>
      </c>
      <c r="CX44" s="381"/>
    </row>
    <row r="45" spans="1:102" s="188" customFormat="1" ht="16.5" customHeight="1" x14ac:dyDescent="0.3">
      <c r="A45" s="135"/>
      <c r="B45" s="419"/>
      <c r="C45" s="135"/>
      <c r="D45" s="135"/>
      <c r="E45" s="372" t="s">
        <v>405</v>
      </c>
      <c r="G45" s="415" t="s">
        <v>31</v>
      </c>
      <c r="H45" s="415"/>
      <c r="I45" s="415"/>
      <c r="J45" s="373" t="str">
        <f t="shared" si="2"/>
        <v/>
      </c>
      <c r="K45" s="370" t="s">
        <v>9</v>
      </c>
      <c r="M45" s="381">
        <v>0</v>
      </c>
      <c r="O45" s="415" t="s">
        <v>31</v>
      </c>
      <c r="P45" s="415"/>
      <c r="Q45" s="415"/>
      <c r="R45" s="373" t="str">
        <f t="shared" si="1"/>
        <v/>
      </c>
      <c r="S45" s="370" t="s">
        <v>9</v>
      </c>
      <c r="T45" s="373"/>
      <c r="U45" s="381">
        <v>0</v>
      </c>
      <c r="BD45" s="382">
        <v>0</v>
      </c>
      <c r="BE45" s="377"/>
      <c r="BF45" s="382">
        <v>0</v>
      </c>
      <c r="BH45" s="163" t="str">
        <f>IF(J45="","",IF(K45=1,Biodiversity!AG$11,IF('Biodiversity Assessment'!K45=2,Biodiversity!AG$12, IF('Biodiversity Assessment'!K45=3,Biodiversity!AG$13, IF('Biodiversity Assessment'!K45=4,Biodiversity!AG$14, IF('Biodiversity Assessment'!K45=5,Biodiversity!AG$15, IF('Biodiversity Assessment'!K45=6,Biodiversity!AG$16, IF('Biodiversity Assessment'!K45=7,Biodiversity!AG$17, IF('Biodiversity Assessment'!K45=8,Biodiversity!AG$18, IF('Biodiversity Assessment'!K45=9,Biodiversity!AG$19, IF('Biodiversity Assessment'!K45=10,Biodiversity!AG$20, IF('Biodiversity Assessment'!K45=11,Biodiversity!AG$21, IF('Biodiversity Assessment'!K45=12,Biodiversity!AG$22, IF('Biodiversity Assessment'!K45=13,Biodiversity!AG$23, IF('Biodiversity Assessment'!K45=14,Biodiversity!AG$24, IF('Biodiversity Assessment'!K45=15,Biodiversity!AG$25, IF('Biodiversity Assessment'!K45=16,Biodiversity!AG$26, IF('Biodiversity Assessment'!K45=17,Biodiversity!AG$27, IF('Biodiversity Assessment'!K45=18,Biodiversity!AG$28, IF('Biodiversity Assessment'!K45=19,Biodiversity!AG$29, IF('Biodiversity Assessment'!K45=20,Biodiversity!AG$30, IF('Biodiversity Assessment'!K45=21,Biodiversity!AG$31, IF('Biodiversity Assessment'!K45=22,Biodiversity!AG$32, IF('Biodiversity Assessment'!K45=23,Biodiversity!AG$33, IF('Biodiversity Assessment'!K45=24,Biodiversity!AG$34, IF('Biodiversity Assessment'!K45=25,Biodiversity!AG$35, IF('Biodiversity Assessment'!K45=26,Biodiversity!AG$36, IF('Biodiversity Assessment'!K45=27,Biodiversity!AG$37, IF('Biodiversity Assessment'!K45=28,Biodiversity!AG$38, IF('Biodiversity Assessment'!K45=29,Biodiversity!AG$39, IF('Biodiversity Assessment'!K45=30,Biodiversity!AG$40, IF('Biodiversity Assessment'!K45="?","Artificial"))))))))))))))))))))))))))))))))</f>
        <v/>
      </c>
      <c r="BJ45" s="163" t="str">
        <f>IF(R45="","",IF(S45=1,Biodiversity!AJ$11,IF('Biodiversity Assessment'!S45=2,Biodiversity!AJ$12, IF('Biodiversity Assessment'!S45=3,Biodiversity!AJ$13, IF('Biodiversity Assessment'!S45=4,Biodiversity!AJ$14, IF('Biodiversity Assessment'!S45=5,Biodiversity!AJ$15, IF('Biodiversity Assessment'!S45=6,Biodiversity!AJ$16, IF('Biodiversity Assessment'!S45=7,Biodiversity!AJ$17, IF('Biodiversity Assessment'!S45=8,Biodiversity!AJ$18, IF('Biodiversity Assessment'!S45=9,Biodiversity!AJ$19, IF('Biodiversity Assessment'!S45=10,Biodiversity!AJ$20, IF('Biodiversity Assessment'!S45=11,Biodiversity!AJ$21, IF('Biodiversity Assessment'!S45=12,Biodiversity!AJ$22, IF('Biodiversity Assessment'!S45=13,Biodiversity!AJ$23, IF('Biodiversity Assessment'!S45=14,Biodiversity!AJ$24, IF('Biodiversity Assessment'!S45=15,Biodiversity!AJ$25, IF('Biodiversity Assessment'!S45=16,Biodiversity!AJ$26, IF('Biodiversity Assessment'!S45=17,Biodiversity!AJ$27, IF('Biodiversity Assessment'!S45=18,Biodiversity!AJ$28, IF('Biodiversity Assessment'!S45=19,Biodiversity!AJ$29, IF('Biodiversity Assessment'!S45=20,Biodiversity!AJ$30, IF('Biodiversity Assessment'!S45=21,Biodiversity!AJ$31, IF('Biodiversity Assessment'!S45=22,Biodiversity!AJ$32, IF('Biodiversity Assessment'!S45=23,Biodiversity!AJ$33, IF('Biodiversity Assessment'!S45=24,Biodiversity!AJ$34, IF('Biodiversity Assessment'!S45=25,Biodiversity!AJ$35, IF('Biodiversity Assessment'!S45=26,Biodiversity!AJ$36, IF('Biodiversity Assessment'!S45=27,Biodiversity!AJ$37, IF('Biodiversity Assessment'!S45=28,Biodiversity!AJ$38, IF('Biodiversity Assessment'!S45=29,Biodiversity!AJ$39, IF('Biodiversity Assessment'!S45=30,Biodiversity!AJ$40, IF('Biodiversity Assessment'!S45="?","Artificial"))))))))))))))))))))))))))))))))</f>
        <v/>
      </c>
      <c r="BL45" s="164">
        <v>0</v>
      </c>
      <c r="BN45" s="164">
        <v>0</v>
      </c>
      <c r="BP45" s="375"/>
      <c r="BQ45" s="375"/>
      <c r="BR45" s="378" t="str">
        <f>Biodiversity!K38</f>
        <v>?</v>
      </c>
      <c r="BT45" s="378" t="str">
        <f>Biodiversity!L38</f>
        <v>?</v>
      </c>
      <c r="BV45" s="378" t="str">
        <f>Biodiversity!M38</f>
        <v>?</v>
      </c>
      <c r="BX45" s="378" t="str">
        <f>Biodiversity!N38</f>
        <v>?</v>
      </c>
      <c r="BZ45" s="378" t="str">
        <f>Biodiversity!O38</f>
        <v>?</v>
      </c>
      <c r="CB45" s="378" t="str">
        <f>Biodiversity!P38</f>
        <v>?</v>
      </c>
      <c r="CD45" s="378" t="str">
        <f>Biodiversity!R38</f>
        <v>?</v>
      </c>
      <c r="CF45" s="378" t="str">
        <f>Biodiversity!S38</f>
        <v>?</v>
      </c>
      <c r="CH45" s="378">
        <f>IF($BL$15=Data!$D$42,'Biodiversity Assessment'!BL45/100,IF($BL$15=Data!$D$43,'Biodiversity Assessment'!BL45/60,IF($BL$15=Data!$D$44,'Biodiversity Assessment'!BL45/50,"?")))</f>
        <v>0</v>
      </c>
      <c r="CJ45" s="378">
        <f>IF($BL$15=Data!$D$42,'Biodiversity Assessment'!BN45/100,IF($BL$15=Data!$D$43,'Biodiversity Assessment'!BN45/60,IF($BL$15=Data!$D$44,'Biodiversity Assessment'!BN45/50,"?")))</f>
        <v>0</v>
      </c>
      <c r="CN45" s="165">
        <f>'ESVD - Social Value of Bio'!G30</f>
        <v>0</v>
      </c>
      <c r="CO45" s="380"/>
      <c r="CP45" s="165" t="str">
        <f>IF('ESVD - Social Value of Bio'!H30=0," ",'ESVD - Social Value of Bio'!H30)</f>
        <v xml:space="preserve"> </v>
      </c>
      <c r="CQ45" s="380"/>
      <c r="CR45" s="382"/>
      <c r="CT45" s="165">
        <f>'ESVD - Social Value of Bio'!U30</f>
        <v>0</v>
      </c>
      <c r="CU45" s="380"/>
      <c r="CV45" s="165" t="str">
        <f>IF('ESVD - Social Value of Bio'!V30=0," ",'ESVD - Social Value of Bio'!V30)</f>
        <v xml:space="preserve"> </v>
      </c>
      <c r="CX45" s="381"/>
    </row>
    <row r="46" spans="1:102" s="188" customFormat="1" ht="16.5" customHeight="1" x14ac:dyDescent="0.3">
      <c r="A46" s="135"/>
      <c r="B46" s="419"/>
      <c r="C46" s="135"/>
      <c r="D46" s="135"/>
      <c r="E46" s="372" t="s">
        <v>406</v>
      </c>
      <c r="G46" s="415" t="s">
        <v>31</v>
      </c>
      <c r="H46" s="415"/>
      <c r="I46" s="415"/>
      <c r="J46" s="373" t="str">
        <f t="shared" si="2"/>
        <v/>
      </c>
      <c r="K46" s="370" t="s">
        <v>9</v>
      </c>
      <c r="M46" s="381">
        <v>0</v>
      </c>
      <c r="O46" s="415" t="s">
        <v>31</v>
      </c>
      <c r="P46" s="415"/>
      <c r="Q46" s="415"/>
      <c r="R46" s="373" t="str">
        <f t="shared" si="1"/>
        <v/>
      </c>
      <c r="S46" s="370" t="s">
        <v>9</v>
      </c>
      <c r="T46" s="373"/>
      <c r="U46" s="381">
        <v>0</v>
      </c>
      <c r="BD46" s="382">
        <v>0</v>
      </c>
      <c r="BE46" s="377"/>
      <c r="BF46" s="382">
        <v>0</v>
      </c>
      <c r="BH46" s="163" t="str">
        <f>IF(J46="","",IF(K46=1,Biodiversity!AG$11,IF('Biodiversity Assessment'!K46=2,Biodiversity!AG$12, IF('Biodiversity Assessment'!K46=3,Biodiversity!AG$13, IF('Biodiversity Assessment'!K46=4,Biodiversity!AG$14, IF('Biodiversity Assessment'!K46=5,Biodiversity!AG$15, IF('Biodiversity Assessment'!K46=6,Biodiversity!AG$16, IF('Biodiversity Assessment'!K46=7,Biodiversity!AG$17, IF('Biodiversity Assessment'!K46=8,Biodiversity!AG$18, IF('Biodiversity Assessment'!K46=9,Biodiversity!AG$19, IF('Biodiversity Assessment'!K46=10,Biodiversity!AG$20, IF('Biodiversity Assessment'!K46=11,Biodiversity!AG$21, IF('Biodiversity Assessment'!K46=12,Biodiversity!AG$22, IF('Biodiversity Assessment'!K46=13,Biodiversity!AG$23, IF('Biodiversity Assessment'!K46=14,Biodiversity!AG$24, IF('Biodiversity Assessment'!K46=15,Biodiversity!AG$25, IF('Biodiversity Assessment'!K46=16,Biodiversity!AG$26, IF('Biodiversity Assessment'!K46=17,Biodiversity!AG$27, IF('Biodiversity Assessment'!K46=18,Biodiversity!AG$28, IF('Biodiversity Assessment'!K46=19,Biodiversity!AG$29, IF('Biodiversity Assessment'!K46=20,Biodiversity!AG$30, IF('Biodiversity Assessment'!K46=21,Biodiversity!AG$31, IF('Biodiversity Assessment'!K46=22,Biodiversity!AG$32, IF('Biodiversity Assessment'!K46=23,Biodiversity!AG$33, IF('Biodiversity Assessment'!K46=24,Biodiversity!AG$34, IF('Biodiversity Assessment'!K46=25,Biodiversity!AG$35, IF('Biodiversity Assessment'!K46=26,Biodiversity!AG$36, IF('Biodiversity Assessment'!K46=27,Biodiversity!AG$37, IF('Biodiversity Assessment'!K46=28,Biodiversity!AG$38, IF('Biodiversity Assessment'!K46=29,Biodiversity!AG$39, IF('Biodiversity Assessment'!K46=30,Biodiversity!AG$40, IF('Biodiversity Assessment'!K46="?","Artificial"))))))))))))))))))))))))))))))))</f>
        <v/>
      </c>
      <c r="BJ46" s="163" t="str">
        <f>IF(R46="","",IF(S46=1,Biodiversity!AJ$11,IF('Biodiversity Assessment'!S46=2,Biodiversity!AJ$12, IF('Biodiversity Assessment'!S46=3,Biodiversity!AJ$13, IF('Biodiversity Assessment'!S46=4,Biodiversity!AJ$14, IF('Biodiversity Assessment'!S46=5,Biodiversity!AJ$15, IF('Biodiversity Assessment'!S46=6,Biodiversity!AJ$16, IF('Biodiversity Assessment'!S46=7,Biodiversity!AJ$17, IF('Biodiversity Assessment'!S46=8,Biodiversity!AJ$18, IF('Biodiversity Assessment'!S46=9,Biodiversity!AJ$19, IF('Biodiversity Assessment'!S46=10,Biodiversity!AJ$20, IF('Biodiversity Assessment'!S46=11,Biodiversity!AJ$21, IF('Biodiversity Assessment'!S46=12,Biodiversity!AJ$22, IF('Biodiversity Assessment'!S46=13,Biodiversity!AJ$23, IF('Biodiversity Assessment'!S46=14,Biodiversity!AJ$24, IF('Biodiversity Assessment'!S46=15,Biodiversity!AJ$25, IF('Biodiversity Assessment'!S46=16,Biodiversity!AJ$26, IF('Biodiversity Assessment'!S46=17,Biodiversity!AJ$27, IF('Biodiversity Assessment'!S46=18,Biodiversity!AJ$28, IF('Biodiversity Assessment'!S46=19,Biodiversity!AJ$29, IF('Biodiversity Assessment'!S46=20,Biodiversity!AJ$30, IF('Biodiversity Assessment'!S46=21,Biodiversity!AJ$31, IF('Biodiversity Assessment'!S46=22,Biodiversity!AJ$32, IF('Biodiversity Assessment'!S46=23,Biodiversity!AJ$33, IF('Biodiversity Assessment'!S46=24,Biodiversity!AJ$34, IF('Biodiversity Assessment'!S46=25,Biodiversity!AJ$35, IF('Biodiversity Assessment'!S46=26,Biodiversity!AJ$36, IF('Biodiversity Assessment'!S46=27,Biodiversity!AJ$37, IF('Biodiversity Assessment'!S46=28,Biodiversity!AJ$38, IF('Biodiversity Assessment'!S46=29,Biodiversity!AJ$39, IF('Biodiversity Assessment'!S46=30,Biodiversity!AJ$40, IF('Biodiversity Assessment'!S46="?","Artificial"))))))))))))))))))))))))))))))))</f>
        <v/>
      </c>
      <c r="BL46" s="164">
        <v>0</v>
      </c>
      <c r="BN46" s="164">
        <v>0</v>
      </c>
      <c r="BP46" s="375"/>
      <c r="BQ46" s="375"/>
      <c r="BR46" s="378" t="str">
        <f>Biodiversity!K39</f>
        <v>?</v>
      </c>
      <c r="BT46" s="378" t="str">
        <f>Biodiversity!L39</f>
        <v>?</v>
      </c>
      <c r="BV46" s="378" t="str">
        <f>Biodiversity!M39</f>
        <v>?</v>
      </c>
      <c r="BX46" s="378" t="str">
        <f>Biodiversity!N39</f>
        <v>?</v>
      </c>
      <c r="BZ46" s="378" t="str">
        <f>Biodiversity!O39</f>
        <v>?</v>
      </c>
      <c r="CB46" s="378" t="str">
        <f>Biodiversity!P39</f>
        <v>?</v>
      </c>
      <c r="CD46" s="378" t="str">
        <f>Biodiversity!R39</f>
        <v>?</v>
      </c>
      <c r="CF46" s="378" t="str">
        <f>Biodiversity!S39</f>
        <v>?</v>
      </c>
      <c r="CH46" s="378">
        <f>IF($BL$15=Data!$D$42,'Biodiversity Assessment'!BL46/100,IF($BL$15=Data!$D$43,'Biodiversity Assessment'!BL46/60,IF($BL$15=Data!$D$44,'Biodiversity Assessment'!BL46/50,"?")))</f>
        <v>0</v>
      </c>
      <c r="CJ46" s="378">
        <f>IF($BL$15=Data!$D$42,'Biodiversity Assessment'!BN46/100,IF($BL$15=Data!$D$43,'Biodiversity Assessment'!BN46/60,IF($BL$15=Data!$D$44,'Biodiversity Assessment'!BN46/50,"?")))</f>
        <v>0</v>
      </c>
      <c r="CN46" s="165">
        <f>'ESVD - Social Value of Bio'!G31</f>
        <v>0</v>
      </c>
      <c r="CO46" s="380"/>
      <c r="CP46" s="165" t="str">
        <f>IF('ESVD - Social Value of Bio'!H31=0," ",'ESVD - Social Value of Bio'!H31)</f>
        <v xml:space="preserve"> </v>
      </c>
      <c r="CQ46" s="380"/>
      <c r="CR46" s="382"/>
      <c r="CT46" s="165">
        <f>'ESVD - Social Value of Bio'!U31</f>
        <v>0</v>
      </c>
      <c r="CU46" s="380"/>
      <c r="CV46" s="165" t="str">
        <f>IF('ESVD - Social Value of Bio'!V31=0," ",'ESVD - Social Value of Bio'!V31)</f>
        <v xml:space="preserve"> </v>
      </c>
      <c r="CX46" s="381"/>
    </row>
    <row r="47" spans="1:102" s="188" customFormat="1" ht="16.5" customHeight="1" x14ac:dyDescent="0.3">
      <c r="A47" s="135"/>
      <c r="B47" s="419"/>
      <c r="C47" s="135"/>
      <c r="D47" s="135"/>
      <c r="E47" s="372" t="s">
        <v>407</v>
      </c>
      <c r="G47" s="415" t="s">
        <v>31</v>
      </c>
      <c r="H47" s="415"/>
      <c r="I47" s="415"/>
      <c r="J47" s="373" t="str">
        <f t="shared" si="2"/>
        <v/>
      </c>
      <c r="K47" s="370" t="s">
        <v>9</v>
      </c>
      <c r="M47" s="381">
        <v>0</v>
      </c>
      <c r="O47" s="415" t="s">
        <v>31</v>
      </c>
      <c r="P47" s="415"/>
      <c r="Q47" s="415"/>
      <c r="R47" s="373" t="str">
        <f t="shared" si="1"/>
        <v/>
      </c>
      <c r="S47" s="370" t="s">
        <v>9</v>
      </c>
      <c r="T47" s="373"/>
      <c r="U47" s="381">
        <v>0</v>
      </c>
      <c r="BD47" s="382">
        <v>0</v>
      </c>
      <c r="BE47" s="377"/>
      <c r="BF47" s="382">
        <v>0</v>
      </c>
      <c r="BH47" s="163" t="str">
        <f>IF(J47="","",IF(K47=1,Biodiversity!AG$11,IF('Biodiversity Assessment'!K47=2,Biodiversity!AG$12, IF('Biodiversity Assessment'!K47=3,Biodiversity!AG$13, IF('Biodiversity Assessment'!K47=4,Biodiversity!AG$14, IF('Biodiversity Assessment'!K47=5,Biodiversity!AG$15, IF('Biodiversity Assessment'!K47=6,Biodiversity!AG$16, IF('Biodiversity Assessment'!K47=7,Biodiversity!AG$17, IF('Biodiversity Assessment'!K47=8,Biodiversity!AG$18, IF('Biodiversity Assessment'!K47=9,Biodiversity!AG$19, IF('Biodiversity Assessment'!K47=10,Biodiversity!AG$20, IF('Biodiversity Assessment'!K47=11,Biodiversity!AG$21, IF('Biodiversity Assessment'!K47=12,Biodiversity!AG$22, IF('Biodiversity Assessment'!K47=13,Biodiversity!AG$23, IF('Biodiversity Assessment'!K47=14,Biodiversity!AG$24, IF('Biodiversity Assessment'!K47=15,Biodiversity!AG$25, IF('Biodiversity Assessment'!K47=16,Biodiversity!AG$26, IF('Biodiversity Assessment'!K47=17,Biodiversity!AG$27, IF('Biodiversity Assessment'!K47=18,Biodiversity!AG$28, IF('Biodiversity Assessment'!K47=19,Biodiversity!AG$29, IF('Biodiversity Assessment'!K47=20,Biodiversity!AG$30, IF('Biodiversity Assessment'!K47=21,Biodiversity!AG$31, IF('Biodiversity Assessment'!K47=22,Biodiversity!AG$32, IF('Biodiversity Assessment'!K47=23,Biodiversity!AG$33, IF('Biodiversity Assessment'!K47=24,Biodiversity!AG$34, IF('Biodiversity Assessment'!K47=25,Biodiversity!AG$35, IF('Biodiversity Assessment'!K47=26,Biodiversity!AG$36, IF('Biodiversity Assessment'!K47=27,Biodiversity!AG$37, IF('Biodiversity Assessment'!K47=28,Biodiversity!AG$38, IF('Biodiversity Assessment'!K47=29,Biodiversity!AG$39, IF('Biodiversity Assessment'!K47=30,Biodiversity!AG$40, IF('Biodiversity Assessment'!K47="?","Artificial"))))))))))))))))))))))))))))))))</f>
        <v/>
      </c>
      <c r="BJ47" s="163" t="str">
        <f>IF(R47="","",IF(S47=1,Biodiversity!AJ$11,IF('Biodiversity Assessment'!S47=2,Biodiversity!AJ$12, IF('Biodiversity Assessment'!S47=3,Biodiversity!AJ$13, IF('Biodiversity Assessment'!S47=4,Biodiversity!AJ$14, IF('Biodiversity Assessment'!S47=5,Biodiversity!AJ$15, IF('Biodiversity Assessment'!S47=6,Biodiversity!AJ$16, IF('Biodiversity Assessment'!S47=7,Biodiversity!AJ$17, IF('Biodiversity Assessment'!S47=8,Biodiversity!AJ$18, IF('Biodiversity Assessment'!S47=9,Biodiversity!AJ$19, IF('Biodiversity Assessment'!S47=10,Biodiversity!AJ$20, IF('Biodiversity Assessment'!S47=11,Biodiversity!AJ$21, IF('Biodiversity Assessment'!S47=12,Biodiversity!AJ$22, IF('Biodiversity Assessment'!S47=13,Biodiversity!AJ$23, IF('Biodiversity Assessment'!S47=14,Biodiversity!AJ$24, IF('Biodiversity Assessment'!S47=15,Biodiversity!AJ$25, IF('Biodiversity Assessment'!S47=16,Biodiversity!AJ$26, IF('Biodiversity Assessment'!S47=17,Biodiversity!AJ$27, IF('Biodiversity Assessment'!S47=18,Biodiversity!AJ$28, IF('Biodiversity Assessment'!S47=19,Biodiversity!AJ$29, IF('Biodiversity Assessment'!S47=20,Biodiversity!AJ$30, IF('Biodiversity Assessment'!S47=21,Biodiversity!AJ$31, IF('Biodiversity Assessment'!S47=22,Biodiversity!AJ$32, IF('Biodiversity Assessment'!S47=23,Biodiversity!AJ$33, IF('Biodiversity Assessment'!S47=24,Biodiversity!AJ$34, IF('Biodiversity Assessment'!S47=25,Biodiversity!AJ$35, IF('Biodiversity Assessment'!S47=26,Biodiversity!AJ$36, IF('Biodiversity Assessment'!S47=27,Biodiversity!AJ$37, IF('Biodiversity Assessment'!S47=28,Biodiversity!AJ$38, IF('Biodiversity Assessment'!S47=29,Biodiversity!AJ$39, IF('Biodiversity Assessment'!S47=30,Biodiversity!AJ$40, IF('Biodiversity Assessment'!S47="?","Artificial"))))))))))))))))))))))))))))))))</f>
        <v/>
      </c>
      <c r="BL47" s="164">
        <v>0</v>
      </c>
      <c r="BN47" s="164">
        <v>0</v>
      </c>
      <c r="BP47" s="375"/>
      <c r="BQ47" s="375"/>
      <c r="BR47" s="378" t="str">
        <f>Biodiversity!K40</f>
        <v>?</v>
      </c>
      <c r="BT47" s="378" t="str">
        <f>Biodiversity!L40</f>
        <v>?</v>
      </c>
      <c r="BV47" s="378" t="str">
        <f>Biodiversity!M40</f>
        <v>?</v>
      </c>
      <c r="BX47" s="378" t="str">
        <f>Biodiversity!N40</f>
        <v>?</v>
      </c>
      <c r="BZ47" s="378" t="str">
        <f>Biodiversity!O40</f>
        <v>?</v>
      </c>
      <c r="CB47" s="378" t="str">
        <f>Biodiversity!P40</f>
        <v>?</v>
      </c>
      <c r="CD47" s="378" t="str">
        <f>Biodiversity!R40</f>
        <v>?</v>
      </c>
      <c r="CF47" s="378" t="str">
        <f>Biodiversity!S40</f>
        <v>?</v>
      </c>
      <c r="CH47" s="378">
        <f>IF($BL$15=Data!$D$42,'Biodiversity Assessment'!BL47/100,IF($BL$15=Data!$D$43,'Biodiversity Assessment'!BL47/60,IF($BL$15=Data!$D$44,'Biodiversity Assessment'!BL47/50,"?")))</f>
        <v>0</v>
      </c>
      <c r="CJ47" s="378">
        <f>IF($BL$15=Data!$D$42,'Biodiversity Assessment'!BN47/100,IF($BL$15=Data!$D$43,'Biodiversity Assessment'!BN47/60,IF($BL$15=Data!$D$44,'Biodiversity Assessment'!BN47/50,"?")))</f>
        <v>0</v>
      </c>
      <c r="CN47" s="165">
        <f>'ESVD - Social Value of Bio'!G32</f>
        <v>0</v>
      </c>
      <c r="CO47" s="380"/>
      <c r="CP47" s="165" t="str">
        <f>IF('ESVD - Social Value of Bio'!H32=0," ",'ESVD - Social Value of Bio'!H32)</f>
        <v xml:space="preserve"> </v>
      </c>
      <c r="CQ47" s="380"/>
      <c r="CR47" s="382"/>
      <c r="CT47" s="165">
        <f>'ESVD - Social Value of Bio'!U32</f>
        <v>0</v>
      </c>
      <c r="CU47" s="380"/>
      <c r="CV47" s="165" t="str">
        <f>IF('ESVD - Social Value of Bio'!V31=0," ",'ESVD - Social Value of Bio'!V31)</f>
        <v xml:space="preserve"> </v>
      </c>
      <c r="CX47" s="381"/>
    </row>
    <row r="48" spans="1:102" ht="16.5" customHeight="1" x14ac:dyDescent="0.35">
      <c r="D48" s="166"/>
      <c r="E48" s="166"/>
      <c r="F48" s="166"/>
      <c r="CB48" s="138"/>
      <c r="CF48" s="135"/>
    </row>
    <row r="49" spans="2:84" ht="16.5" customHeight="1" x14ac:dyDescent="0.35">
      <c r="D49" s="166"/>
      <c r="E49" s="166"/>
      <c r="F49" s="166"/>
      <c r="K49" s="167"/>
      <c r="L49" s="167"/>
      <c r="M49" s="168" t="str">
        <f>IF(SUM(M18:M47)&lt;&gt;SUM(U18:U47),"Check areas!","")</f>
        <v/>
      </c>
      <c r="N49" s="167"/>
      <c r="O49" s="169"/>
      <c r="P49" s="169"/>
      <c r="U49" s="168" t="str">
        <f>IF(SUM(U18:U47)&lt;&gt;SUM(M18:M47),"Check areas!","")</f>
        <v/>
      </c>
      <c r="BD49" s="170"/>
      <c r="BE49" s="170"/>
    </row>
    <row r="50" spans="2:84" ht="16.5" customHeight="1" x14ac:dyDescent="0.35">
      <c r="B50" s="419" t="s">
        <v>228</v>
      </c>
      <c r="D50" s="166"/>
      <c r="E50" s="166"/>
      <c r="F50" s="166"/>
      <c r="N50" s="171"/>
      <c r="BD50" s="170"/>
      <c r="BE50" s="170"/>
    </row>
    <row r="51" spans="2:84" ht="16.5" customHeight="1" x14ac:dyDescent="0.35">
      <c r="B51" s="419"/>
      <c r="D51" s="166"/>
      <c r="E51" s="166"/>
      <c r="F51" s="166"/>
    </row>
    <row r="52" spans="2:84" ht="16.5" customHeight="1" x14ac:dyDescent="0.35">
      <c r="B52" s="419"/>
      <c r="D52" s="166"/>
      <c r="E52" s="166"/>
      <c r="F52" s="166"/>
      <c r="BB52" s="138"/>
      <c r="BS52" s="138"/>
      <c r="CF52" s="135"/>
    </row>
    <row r="53" spans="2:84" ht="16.5" customHeight="1" x14ac:dyDescent="0.4">
      <c r="B53" s="419"/>
      <c r="D53" s="166"/>
      <c r="E53" s="166"/>
      <c r="F53" s="166"/>
      <c r="BB53" s="153"/>
      <c r="BS53" s="138"/>
      <c r="CF53" s="135"/>
    </row>
    <row r="54" spans="2:84" ht="16.5" customHeight="1" x14ac:dyDescent="0.4">
      <c r="B54" s="419"/>
      <c r="D54" s="166"/>
      <c r="E54" s="166"/>
      <c r="G54" s="416" t="s">
        <v>413</v>
      </c>
      <c r="H54" s="416"/>
      <c r="I54" s="416"/>
      <c r="J54" s="416"/>
      <c r="K54" s="416"/>
      <c r="L54" s="416"/>
      <c r="M54" s="416"/>
      <c r="N54" s="416"/>
      <c r="O54" s="416"/>
      <c r="P54" s="416"/>
      <c r="Q54" s="416"/>
      <c r="R54" s="153"/>
      <c r="S54" s="153"/>
      <c r="T54" s="153"/>
      <c r="U54" s="172"/>
      <c r="V54" s="172"/>
      <c r="W54" s="172"/>
      <c r="X54" s="172"/>
      <c r="Y54" s="172"/>
      <c r="Z54" s="172"/>
      <c r="AA54" s="172"/>
      <c r="AB54" s="172"/>
      <c r="AC54" s="416" t="s">
        <v>33</v>
      </c>
      <c r="AD54" s="416"/>
      <c r="AE54" s="416"/>
      <c r="AF54" s="416"/>
      <c r="AG54" s="416"/>
      <c r="AH54" s="416"/>
      <c r="AI54" s="416"/>
      <c r="AJ54" s="416"/>
      <c r="AK54" s="416"/>
      <c r="AL54" s="416"/>
      <c r="AM54" s="416"/>
      <c r="AN54" s="416"/>
      <c r="AO54" s="416"/>
      <c r="AP54" s="416"/>
      <c r="AQ54" s="416"/>
      <c r="AR54" s="416"/>
      <c r="AS54" s="416"/>
      <c r="AT54" s="416"/>
      <c r="AU54" s="416"/>
      <c r="AV54" s="416"/>
      <c r="AW54" s="153"/>
      <c r="AX54" s="172"/>
      <c r="AY54" s="172"/>
      <c r="AZ54" s="172"/>
      <c r="BA54" s="172"/>
      <c r="BC54" s="173"/>
      <c r="BO54" s="138"/>
      <c r="CF54" s="135"/>
    </row>
    <row r="55" spans="2:84" ht="16.5" customHeight="1" x14ac:dyDescent="0.35">
      <c r="B55" s="419"/>
      <c r="D55" s="166"/>
      <c r="E55" s="166"/>
      <c r="G55" s="436" t="s">
        <v>35</v>
      </c>
      <c r="H55" s="436"/>
      <c r="I55" s="436"/>
      <c r="J55" s="436"/>
      <c r="K55" s="436"/>
      <c r="L55" s="436"/>
      <c r="M55" s="436"/>
      <c r="N55" s="436"/>
      <c r="O55" s="436"/>
      <c r="P55" s="436"/>
      <c r="Q55" s="436"/>
      <c r="R55" s="174"/>
      <c r="S55" s="174"/>
      <c r="T55" s="174"/>
      <c r="U55" s="175"/>
      <c r="V55" s="175"/>
      <c r="W55" s="175"/>
      <c r="X55" s="175"/>
      <c r="Y55" s="175"/>
      <c r="Z55" s="175"/>
      <c r="AA55" s="175"/>
      <c r="AB55" s="175"/>
      <c r="AI55" s="175"/>
      <c r="AJ55" s="175"/>
      <c r="AK55" s="175"/>
      <c r="AL55" s="175"/>
      <c r="AM55" s="175"/>
      <c r="AN55" s="175"/>
      <c r="AO55" s="175"/>
      <c r="AP55" s="175"/>
      <c r="AQ55" s="175"/>
      <c r="AR55" s="175"/>
      <c r="AS55" s="175"/>
      <c r="AT55" s="175"/>
      <c r="AU55" s="175"/>
      <c r="AV55" s="175"/>
      <c r="AW55" s="175"/>
      <c r="AX55" s="175"/>
      <c r="AY55" s="175"/>
      <c r="AZ55" s="175"/>
      <c r="BA55" s="175"/>
      <c r="BO55" s="138"/>
      <c r="CF55" s="135"/>
    </row>
    <row r="56" spans="2:84" ht="16.5" customHeight="1" x14ac:dyDescent="0.35">
      <c r="B56" s="419"/>
      <c r="D56" s="166"/>
      <c r="E56" s="166"/>
      <c r="F56" s="417" t="s">
        <v>26</v>
      </c>
      <c r="G56" s="417"/>
      <c r="H56" s="417"/>
      <c r="I56" s="417"/>
      <c r="O56" s="417" t="s">
        <v>12</v>
      </c>
      <c r="P56" s="417"/>
      <c r="Q56" s="417"/>
      <c r="R56" s="138"/>
      <c r="S56" s="138"/>
      <c r="T56" s="138"/>
      <c r="U56" s="138"/>
      <c r="V56" s="175"/>
      <c r="W56" s="175"/>
      <c r="X56" s="175"/>
      <c r="Y56" s="175"/>
      <c r="Z56" s="175"/>
      <c r="AA56" s="175"/>
      <c r="AB56" s="175"/>
      <c r="AC56" s="443" t="s">
        <v>27</v>
      </c>
      <c r="AD56" s="443"/>
      <c r="AE56" s="443"/>
      <c r="AF56" s="443"/>
      <c r="AG56" s="443"/>
      <c r="AH56" s="443"/>
      <c r="AI56" s="443"/>
      <c r="AJ56" s="443"/>
      <c r="AK56" s="443"/>
      <c r="AL56" s="443"/>
      <c r="AM56" s="443" t="s">
        <v>28</v>
      </c>
      <c r="AN56" s="443"/>
      <c r="AO56" s="443"/>
      <c r="AP56" s="443"/>
      <c r="AQ56" s="443"/>
      <c r="AR56" s="443"/>
      <c r="AS56" s="443"/>
      <c r="AT56" s="443"/>
      <c r="AU56" s="443"/>
      <c r="AV56" s="443"/>
      <c r="AW56" s="176"/>
      <c r="AX56" s="175"/>
      <c r="AY56" s="175"/>
      <c r="AZ56" s="175"/>
      <c r="BA56" s="175"/>
      <c r="BC56" s="159"/>
      <c r="BO56" s="138"/>
      <c r="CF56" s="135"/>
    </row>
    <row r="57" spans="2:84" ht="16.5" customHeight="1" x14ac:dyDescent="0.35">
      <c r="B57" s="419"/>
      <c r="D57" s="166"/>
      <c r="E57" s="166"/>
      <c r="G57" s="420" t="str">
        <f>Biodiversity!I45</f>
        <v>?</v>
      </c>
      <c r="H57" s="420"/>
      <c r="I57" s="420"/>
      <c r="J57" s="371"/>
      <c r="K57" s="371"/>
      <c r="L57" s="371"/>
      <c r="M57" s="371"/>
      <c r="N57" s="371"/>
      <c r="O57" s="420" t="str">
        <f>Biodiversity!J45</f>
        <v>?</v>
      </c>
      <c r="P57" s="420"/>
      <c r="Q57" s="420"/>
      <c r="R57" s="384"/>
      <c r="S57" s="384"/>
      <c r="T57" s="384"/>
      <c r="U57" s="384"/>
      <c r="V57" s="384"/>
      <c r="W57" s="384"/>
      <c r="X57" s="384"/>
      <c r="Y57" s="384"/>
      <c r="Z57" s="384"/>
      <c r="AA57" s="384"/>
      <c r="AB57" s="384"/>
      <c r="AC57" s="447">
        <f>Biodiversity!M45</f>
        <v>0.85</v>
      </c>
      <c r="AD57" s="447"/>
      <c r="AE57" s="447"/>
      <c r="AF57" s="447"/>
      <c r="AG57" s="447"/>
      <c r="AH57" s="447"/>
      <c r="AI57" s="447"/>
      <c r="AJ57" s="447"/>
      <c r="AK57" s="447"/>
      <c r="AL57" s="448"/>
      <c r="AM57" s="449">
        <f>Biodiversity!N45</f>
        <v>0.85</v>
      </c>
      <c r="AN57" s="447"/>
      <c r="AO57" s="447"/>
      <c r="AP57" s="447"/>
      <c r="AQ57" s="447"/>
      <c r="AR57" s="447"/>
      <c r="AS57" s="447"/>
      <c r="AT57" s="447"/>
      <c r="AU57" s="447"/>
      <c r="AV57" s="447"/>
      <c r="AW57" s="162"/>
      <c r="AX57" s="162"/>
      <c r="AY57" s="162"/>
      <c r="AZ57" s="162"/>
      <c r="BA57" s="162"/>
      <c r="BC57" s="159"/>
      <c r="BO57" s="138"/>
      <c r="CF57" s="135"/>
    </row>
    <row r="58" spans="2:84" ht="16.5" customHeight="1" x14ac:dyDescent="0.35">
      <c r="B58" s="419"/>
      <c r="D58" s="166"/>
      <c r="E58" s="166"/>
      <c r="F58" s="166"/>
      <c r="G58" s="169"/>
      <c r="H58" s="169"/>
      <c r="N58" s="171"/>
      <c r="O58" s="169"/>
      <c r="P58" s="169"/>
      <c r="R58" s="138"/>
      <c r="S58" s="138"/>
      <c r="T58" s="138"/>
      <c r="U58" s="138"/>
      <c r="V58" s="138"/>
      <c r="W58" s="138"/>
      <c r="X58" s="138"/>
      <c r="Y58" s="138"/>
      <c r="Z58" s="138"/>
      <c r="AA58" s="138"/>
      <c r="AB58" s="138"/>
      <c r="AC58" s="138"/>
      <c r="AD58" s="138"/>
      <c r="AE58" s="138"/>
      <c r="AF58" s="138"/>
      <c r="AG58" s="138"/>
      <c r="AH58" s="138"/>
      <c r="AI58" s="138"/>
      <c r="AJ58" s="138"/>
      <c r="AK58" s="138"/>
      <c r="AL58" s="138"/>
      <c r="AM58" s="138"/>
      <c r="AN58" s="138"/>
      <c r="AO58" s="138"/>
      <c r="AP58" s="138"/>
      <c r="AQ58" s="138"/>
      <c r="AR58" s="138"/>
      <c r="AS58" s="138"/>
      <c r="AT58" s="138"/>
      <c r="AU58" s="138"/>
      <c r="AV58" s="138"/>
      <c r="AW58" s="138"/>
      <c r="AX58" s="138"/>
      <c r="AY58" s="138"/>
      <c r="AZ58" s="138"/>
      <c r="BA58" s="138"/>
      <c r="BS58" s="138"/>
      <c r="CF58" s="135"/>
    </row>
    <row r="59" spans="2:84" ht="16.5" customHeight="1" x14ac:dyDescent="0.35">
      <c r="B59" s="419"/>
      <c r="D59" s="166"/>
      <c r="E59" s="166"/>
      <c r="F59" s="166"/>
      <c r="N59" s="171"/>
      <c r="R59" s="138"/>
      <c r="S59" s="138"/>
      <c r="T59" s="138"/>
      <c r="U59" s="138"/>
      <c r="V59" s="138"/>
      <c r="W59" s="138"/>
      <c r="X59" s="138"/>
      <c r="Y59" s="138"/>
      <c r="Z59" s="138"/>
      <c r="AA59" s="138"/>
      <c r="AB59" s="138"/>
      <c r="AC59" s="138"/>
      <c r="AD59" s="138"/>
      <c r="AE59" s="138"/>
      <c r="AF59" s="138"/>
      <c r="AG59" s="138"/>
      <c r="AH59" s="138"/>
      <c r="AI59" s="138"/>
      <c r="AJ59" s="138"/>
      <c r="AK59" s="138"/>
      <c r="AL59" s="138"/>
      <c r="AM59" s="138"/>
      <c r="AN59" s="138"/>
      <c r="AO59" s="138"/>
      <c r="AP59" s="138"/>
      <c r="AQ59" s="138"/>
      <c r="AR59" s="138"/>
      <c r="AS59" s="138"/>
      <c r="AT59" s="138"/>
      <c r="AU59" s="138"/>
      <c r="AV59" s="138"/>
      <c r="AW59" s="138"/>
      <c r="AX59" s="138"/>
      <c r="AY59" s="138"/>
      <c r="AZ59" s="138"/>
      <c r="BA59" s="138"/>
      <c r="BV59" s="138"/>
      <c r="CF59" s="135"/>
    </row>
    <row r="60" spans="2:84" ht="16.5" customHeight="1" x14ac:dyDescent="0.35">
      <c r="B60" s="419"/>
      <c r="D60" s="166"/>
      <c r="E60" s="166"/>
      <c r="F60" s="166"/>
      <c r="N60" s="171"/>
      <c r="R60" s="138"/>
      <c r="S60" s="138"/>
      <c r="T60" s="138"/>
      <c r="U60" s="138"/>
      <c r="V60" s="138"/>
      <c r="W60" s="138"/>
      <c r="X60" s="138"/>
      <c r="Y60" s="138"/>
      <c r="Z60" s="138"/>
      <c r="AA60" s="138"/>
      <c r="AB60" s="138"/>
      <c r="AC60" s="138"/>
      <c r="AD60" s="138"/>
      <c r="AE60" s="138"/>
      <c r="AF60" s="138"/>
      <c r="AG60" s="138"/>
      <c r="AH60" s="138"/>
      <c r="AI60" s="138"/>
      <c r="AJ60" s="138"/>
      <c r="AK60" s="138"/>
      <c r="AL60" s="138"/>
      <c r="AM60" s="138"/>
      <c r="AN60" s="138"/>
      <c r="AO60" s="138"/>
      <c r="AP60" s="138"/>
      <c r="AQ60" s="138"/>
      <c r="AR60" s="138"/>
      <c r="AS60" s="138"/>
      <c r="AT60" s="138"/>
      <c r="AU60" s="138"/>
      <c r="AV60" s="138"/>
      <c r="AW60" s="138"/>
      <c r="AX60" s="138"/>
      <c r="AY60" s="138"/>
      <c r="AZ60" s="138"/>
      <c r="BA60" s="138"/>
      <c r="BV60" s="138"/>
      <c r="CF60" s="135"/>
    </row>
    <row r="61" spans="2:84" ht="16.5" customHeight="1" x14ac:dyDescent="0.35">
      <c r="D61" s="132"/>
      <c r="E61" s="132"/>
      <c r="F61" s="132"/>
    </row>
    <row r="62" spans="2:84" ht="16.5" customHeight="1" x14ac:dyDescent="0.35">
      <c r="D62" s="132"/>
      <c r="E62" s="132"/>
      <c r="F62" s="132"/>
    </row>
    <row r="63" spans="2:84" ht="16.5" hidden="1" customHeight="1" x14ac:dyDescent="0.3">
      <c r="B63" s="409" t="s">
        <v>38</v>
      </c>
      <c r="D63" s="410" t="s">
        <v>39</v>
      </c>
      <c r="E63" s="410"/>
      <c r="F63" s="410"/>
      <c r="G63" s="410"/>
      <c r="H63" s="410"/>
      <c r="I63" s="410"/>
      <c r="J63" s="410"/>
      <c r="K63" s="410"/>
      <c r="L63" s="410"/>
      <c r="M63" s="410"/>
      <c r="N63" s="410"/>
      <c r="O63" s="410"/>
      <c r="P63" s="410"/>
      <c r="Q63" s="410"/>
      <c r="R63" s="410"/>
      <c r="S63" s="410"/>
      <c r="T63" s="410"/>
      <c r="U63" s="410"/>
    </row>
    <row r="64" spans="2:84" ht="16.5" hidden="1" customHeight="1" x14ac:dyDescent="0.3">
      <c r="B64" s="409"/>
      <c r="D64" s="410"/>
      <c r="E64" s="410"/>
      <c r="F64" s="410"/>
      <c r="G64" s="410"/>
      <c r="H64" s="410"/>
      <c r="I64" s="410"/>
      <c r="J64" s="410"/>
      <c r="K64" s="410"/>
      <c r="L64" s="410"/>
      <c r="M64" s="410"/>
      <c r="N64" s="410"/>
      <c r="O64" s="410"/>
      <c r="P64" s="410"/>
      <c r="Q64" s="410"/>
      <c r="R64" s="410"/>
      <c r="S64" s="410"/>
      <c r="T64" s="410"/>
      <c r="U64" s="410"/>
    </row>
    <row r="65" spans="2:72" ht="16.5" hidden="1" customHeight="1" x14ac:dyDescent="0.3">
      <c r="B65" s="409"/>
      <c r="D65" s="411"/>
      <c r="E65" s="411"/>
      <c r="F65" s="411"/>
      <c r="G65" s="411"/>
      <c r="H65" s="411"/>
      <c r="I65" s="411"/>
      <c r="J65" s="411"/>
      <c r="K65" s="411"/>
      <c r="L65" s="411"/>
      <c r="M65" s="411"/>
      <c r="N65" s="411"/>
      <c r="O65" s="411"/>
      <c r="P65" s="411"/>
      <c r="Q65" s="411"/>
      <c r="R65" s="411"/>
      <c r="S65" s="411"/>
      <c r="T65" s="411"/>
      <c r="U65" s="411"/>
    </row>
    <row r="66" spans="2:72" ht="16.5" hidden="1" customHeight="1" x14ac:dyDescent="0.95">
      <c r="B66" s="409"/>
      <c r="D66" s="412" t="s">
        <v>392</v>
      </c>
      <c r="E66" s="412"/>
      <c r="F66" s="412"/>
      <c r="G66" s="412"/>
      <c r="H66" s="412"/>
      <c r="I66" s="412"/>
      <c r="J66" s="412"/>
      <c r="K66" s="412"/>
      <c r="L66" s="412"/>
      <c r="M66" s="412"/>
      <c r="N66" s="412"/>
      <c r="O66" s="412"/>
      <c r="P66" s="412"/>
      <c r="Q66" s="412"/>
      <c r="R66" s="412"/>
      <c r="S66" s="412"/>
      <c r="T66" s="412"/>
      <c r="U66" s="412"/>
      <c r="V66" s="177"/>
      <c r="W66" s="177"/>
      <c r="X66" s="177"/>
      <c r="Y66" s="177"/>
      <c r="Z66" s="177"/>
      <c r="AA66" s="177"/>
      <c r="AB66" s="177"/>
      <c r="AC66" s="177"/>
      <c r="AD66" s="177"/>
      <c r="AE66" s="177"/>
      <c r="AF66" s="177"/>
      <c r="AG66" s="177"/>
      <c r="AH66" s="177"/>
      <c r="AI66" s="177"/>
      <c r="AJ66" s="177"/>
      <c r="AK66" s="177"/>
      <c r="AL66" s="177"/>
      <c r="AM66" s="177"/>
      <c r="AN66" s="177"/>
      <c r="AO66" s="177"/>
      <c r="AP66" s="177"/>
      <c r="AQ66" s="177"/>
      <c r="AR66" s="177"/>
      <c r="AS66" s="177"/>
      <c r="AT66" s="177"/>
      <c r="AU66" s="177"/>
      <c r="AV66" s="177"/>
      <c r="AW66" s="177"/>
      <c r="AX66" s="177"/>
      <c r="AY66" s="177"/>
      <c r="AZ66" s="177"/>
      <c r="BA66" s="177"/>
      <c r="BB66" s="177"/>
      <c r="BC66" s="177"/>
      <c r="BD66" s="177"/>
      <c r="BE66" s="177"/>
    </row>
    <row r="67" spans="2:72" ht="16.5" hidden="1" customHeight="1" x14ac:dyDescent="0.95">
      <c r="B67" s="409"/>
      <c r="V67" s="177"/>
      <c r="W67" s="177"/>
      <c r="X67" s="177"/>
      <c r="Y67" s="177"/>
      <c r="Z67" s="177"/>
      <c r="AA67" s="177"/>
      <c r="AB67" s="177"/>
      <c r="AC67" s="177"/>
      <c r="AD67" s="177"/>
      <c r="AE67" s="177"/>
      <c r="AF67" s="177"/>
      <c r="AG67" s="177"/>
      <c r="AH67" s="177"/>
      <c r="AI67" s="177"/>
      <c r="AJ67" s="177"/>
      <c r="AK67" s="177"/>
      <c r="AL67" s="177"/>
      <c r="AM67" s="177"/>
      <c r="AN67" s="177"/>
      <c r="AO67" s="177"/>
      <c r="AP67" s="177"/>
      <c r="AQ67" s="177"/>
      <c r="AR67" s="177"/>
      <c r="AS67" s="177"/>
      <c r="AT67" s="177"/>
      <c r="AU67" s="177"/>
      <c r="AV67" s="177"/>
      <c r="AW67" s="177"/>
      <c r="AX67" s="177"/>
      <c r="AY67" s="177"/>
      <c r="AZ67" s="177"/>
      <c r="BA67" s="177"/>
      <c r="BB67" s="177"/>
      <c r="BC67" s="177"/>
      <c r="BD67" s="177"/>
      <c r="BE67" s="177"/>
      <c r="BF67" s="138"/>
      <c r="BG67" s="138"/>
      <c r="BH67" s="138"/>
      <c r="BI67" s="138"/>
      <c r="BJ67" s="138"/>
      <c r="BK67" s="138"/>
      <c r="BL67" s="138"/>
      <c r="BM67" s="138"/>
      <c r="BN67" s="138"/>
      <c r="BO67" s="138"/>
      <c r="BP67" s="138"/>
      <c r="BQ67" s="138"/>
      <c r="BR67" s="138"/>
      <c r="BS67" s="138"/>
      <c r="BT67" s="138"/>
    </row>
    <row r="68" spans="2:72" ht="16.5" hidden="1" customHeight="1" x14ac:dyDescent="0.95">
      <c r="B68" s="409"/>
      <c r="D68" s="413" t="s">
        <v>26</v>
      </c>
      <c r="E68" s="413"/>
      <c r="F68" s="413"/>
      <c r="G68" s="413"/>
      <c r="H68" s="413"/>
      <c r="I68" s="413"/>
      <c r="J68" s="413"/>
      <c r="K68" s="178"/>
      <c r="L68" s="178"/>
      <c r="M68" s="413" t="s">
        <v>12</v>
      </c>
      <c r="N68" s="413"/>
      <c r="O68" s="413"/>
      <c r="P68" s="413"/>
      <c r="Q68" s="413"/>
      <c r="R68" s="413"/>
      <c r="S68" s="413"/>
      <c r="T68" s="413"/>
      <c r="U68" s="413"/>
      <c r="V68" s="177"/>
      <c r="W68" s="177"/>
      <c r="X68" s="177"/>
      <c r="Y68" s="177"/>
      <c r="Z68" s="177"/>
      <c r="AA68" s="177"/>
      <c r="AB68" s="177"/>
      <c r="AC68" s="177"/>
      <c r="AD68" s="177"/>
      <c r="AE68" s="177"/>
      <c r="AF68" s="177"/>
      <c r="AG68" s="177"/>
      <c r="AH68" s="177"/>
      <c r="AI68" s="177"/>
      <c r="AJ68" s="177"/>
      <c r="AK68" s="177"/>
      <c r="AL68" s="177"/>
      <c r="AM68" s="177"/>
      <c r="AN68" s="177"/>
      <c r="AO68" s="177"/>
      <c r="AP68" s="177"/>
      <c r="AQ68" s="177"/>
      <c r="AR68" s="177"/>
      <c r="AS68" s="177"/>
      <c r="AT68" s="177"/>
      <c r="AU68" s="177"/>
      <c r="AV68" s="177"/>
      <c r="AW68" s="177"/>
      <c r="AX68" s="177"/>
      <c r="AY68" s="177"/>
      <c r="AZ68" s="177"/>
      <c r="BA68" s="177"/>
      <c r="BB68" s="177"/>
      <c r="BC68" s="177"/>
      <c r="BD68" s="177"/>
      <c r="BE68" s="177"/>
      <c r="BF68" s="138"/>
      <c r="BG68" s="138"/>
      <c r="BH68" s="138"/>
      <c r="BI68" s="138"/>
      <c r="BJ68" s="138"/>
      <c r="BK68" s="138"/>
      <c r="BL68" s="138"/>
      <c r="BM68" s="138"/>
      <c r="BN68" s="138"/>
      <c r="BO68" s="138"/>
      <c r="BP68" s="138"/>
      <c r="BQ68" s="138"/>
      <c r="BR68" s="138"/>
      <c r="BS68" s="138"/>
      <c r="BT68" s="138"/>
    </row>
    <row r="69" spans="2:72" ht="16.5" hidden="1" customHeight="1" x14ac:dyDescent="1.55">
      <c r="B69" s="409"/>
      <c r="D69" s="423">
        <f>Biodiversity!R45</f>
        <v>0</v>
      </c>
      <c r="E69" s="423"/>
      <c r="F69" s="423"/>
      <c r="G69" s="423"/>
      <c r="H69" s="423"/>
      <c r="I69" s="423"/>
      <c r="J69" s="423"/>
      <c r="K69" s="179"/>
      <c r="L69" s="179"/>
      <c r="M69" s="423">
        <f>Biodiversity!S45</f>
        <v>0</v>
      </c>
      <c r="N69" s="423"/>
      <c r="O69" s="423"/>
      <c r="P69" s="423"/>
      <c r="Q69" s="423"/>
      <c r="R69" s="423"/>
      <c r="S69" s="423"/>
      <c r="T69" s="423"/>
      <c r="U69" s="423"/>
      <c r="V69" s="174"/>
      <c r="W69" s="174"/>
      <c r="X69" s="174"/>
      <c r="Y69" s="174"/>
      <c r="Z69" s="174"/>
      <c r="AA69" s="174"/>
      <c r="AB69" s="174"/>
      <c r="AC69" s="174"/>
      <c r="AD69" s="174"/>
      <c r="AE69" s="174"/>
      <c r="AF69" s="174"/>
      <c r="AG69" s="174"/>
      <c r="AH69" s="174"/>
      <c r="AI69" s="174"/>
      <c r="AJ69" s="174"/>
      <c r="AK69" s="174"/>
      <c r="AL69" s="174"/>
      <c r="AM69" s="174"/>
      <c r="AN69" s="174"/>
      <c r="AO69" s="174"/>
      <c r="AP69" s="174"/>
      <c r="AQ69" s="174"/>
      <c r="AR69" s="174"/>
      <c r="AS69" s="174"/>
      <c r="AT69" s="174"/>
      <c r="AU69" s="174"/>
      <c r="AV69" s="174"/>
      <c r="AW69" s="174"/>
      <c r="AX69" s="174"/>
      <c r="AY69" s="174"/>
      <c r="AZ69" s="174"/>
      <c r="BA69" s="174"/>
      <c r="BB69" s="174"/>
      <c r="BC69" s="174"/>
      <c r="BD69" s="174"/>
      <c r="BE69" s="174"/>
      <c r="BF69" s="138"/>
      <c r="BG69" s="138"/>
      <c r="BH69" s="138"/>
      <c r="BI69" s="138"/>
      <c r="BJ69" s="138"/>
      <c r="BK69" s="138"/>
      <c r="BL69" s="138"/>
      <c r="BM69" s="138"/>
      <c r="BN69" s="138"/>
      <c r="BO69" s="138"/>
      <c r="BP69" s="138"/>
      <c r="BQ69" s="138"/>
      <c r="BR69" s="138"/>
      <c r="BS69" s="138"/>
      <c r="BT69" s="138"/>
    </row>
    <row r="70" spans="2:72" ht="16.5" hidden="1" customHeight="1" x14ac:dyDescent="1.55">
      <c r="B70" s="409"/>
      <c r="D70" s="423"/>
      <c r="E70" s="423"/>
      <c r="F70" s="423"/>
      <c r="G70" s="423"/>
      <c r="H70" s="423"/>
      <c r="I70" s="423"/>
      <c r="J70" s="423"/>
      <c r="K70" s="179"/>
      <c r="L70" s="179"/>
      <c r="M70" s="423"/>
      <c r="N70" s="423"/>
      <c r="O70" s="423"/>
      <c r="P70" s="423"/>
      <c r="Q70" s="423"/>
      <c r="R70" s="423"/>
      <c r="S70" s="423"/>
      <c r="T70" s="423"/>
      <c r="U70" s="423"/>
      <c r="BB70" s="138"/>
      <c r="BC70" s="138"/>
      <c r="BD70" s="138"/>
      <c r="BE70" s="138"/>
      <c r="BF70" s="138"/>
      <c r="BG70" s="138"/>
      <c r="BH70" s="138"/>
      <c r="BI70" s="138"/>
      <c r="BJ70" s="138"/>
      <c r="BK70" s="138"/>
      <c r="BL70" s="138"/>
      <c r="BM70" s="138"/>
      <c r="BN70" s="138"/>
      <c r="BO70" s="138"/>
      <c r="BP70" s="138"/>
      <c r="BQ70" s="138"/>
      <c r="BR70" s="138"/>
      <c r="BS70" s="138"/>
      <c r="BT70" s="138"/>
    </row>
    <row r="71" spans="2:72" ht="16.5" hidden="1" customHeight="1" x14ac:dyDescent="1.55">
      <c r="B71" s="409"/>
      <c r="D71" s="423"/>
      <c r="E71" s="423"/>
      <c r="F71" s="423"/>
      <c r="G71" s="423"/>
      <c r="H71" s="423"/>
      <c r="I71" s="423"/>
      <c r="J71" s="423"/>
      <c r="K71" s="179"/>
      <c r="L71" s="179"/>
      <c r="M71" s="423"/>
      <c r="N71" s="423"/>
      <c r="O71" s="423"/>
      <c r="P71" s="423"/>
      <c r="Q71" s="423"/>
      <c r="R71" s="423"/>
      <c r="S71" s="423"/>
      <c r="T71" s="423"/>
      <c r="U71" s="423"/>
      <c r="V71" s="180"/>
      <c r="W71" s="180"/>
      <c r="X71" s="180"/>
      <c r="Y71" s="180"/>
      <c r="Z71" s="180"/>
      <c r="AA71" s="180"/>
      <c r="AB71" s="180"/>
      <c r="AC71" s="180"/>
      <c r="AD71" s="180"/>
      <c r="AE71" s="180"/>
      <c r="AF71" s="180"/>
      <c r="AG71" s="180"/>
      <c r="AH71" s="180"/>
      <c r="AI71" s="180"/>
      <c r="AJ71" s="180"/>
      <c r="AK71" s="180"/>
      <c r="AL71" s="180"/>
      <c r="AM71" s="180"/>
      <c r="AN71" s="180"/>
      <c r="AO71" s="180"/>
      <c r="AP71" s="180"/>
      <c r="AQ71" s="180"/>
      <c r="AR71" s="180"/>
      <c r="AS71" s="180"/>
      <c r="AT71" s="180"/>
      <c r="AU71" s="180"/>
      <c r="AV71" s="180"/>
      <c r="AW71" s="180"/>
      <c r="AX71" s="180"/>
      <c r="AY71" s="180"/>
      <c r="AZ71" s="180"/>
      <c r="BA71" s="180"/>
      <c r="BB71" s="181"/>
      <c r="BC71" s="181"/>
      <c r="BD71" s="181"/>
      <c r="BE71" s="181"/>
      <c r="BF71" s="138"/>
      <c r="BG71" s="138"/>
      <c r="BH71" s="138"/>
      <c r="BI71" s="138"/>
      <c r="BJ71" s="138"/>
      <c r="BK71" s="138"/>
      <c r="BL71" s="138"/>
      <c r="BM71" s="138"/>
      <c r="BN71" s="138"/>
      <c r="BO71" s="138"/>
      <c r="BP71" s="138"/>
      <c r="BQ71" s="138"/>
      <c r="BR71" s="138"/>
      <c r="BS71" s="138"/>
      <c r="BT71" s="138"/>
    </row>
    <row r="72" spans="2:72" ht="16.5" hidden="1" customHeight="1" x14ac:dyDescent="1.55">
      <c r="B72" s="409"/>
      <c r="D72" s="423"/>
      <c r="E72" s="423"/>
      <c r="F72" s="423"/>
      <c r="G72" s="423"/>
      <c r="H72" s="423"/>
      <c r="I72" s="423"/>
      <c r="J72" s="423"/>
      <c r="K72" s="179"/>
      <c r="L72" s="179"/>
      <c r="M72" s="423"/>
      <c r="N72" s="423"/>
      <c r="O72" s="423"/>
      <c r="P72" s="423"/>
      <c r="Q72" s="423"/>
      <c r="R72" s="423"/>
      <c r="S72" s="423"/>
      <c r="T72" s="423"/>
      <c r="U72" s="423"/>
      <c r="BB72" s="138"/>
      <c r="BC72" s="138"/>
      <c r="BD72" s="138"/>
      <c r="BE72" s="138"/>
      <c r="BF72" s="138"/>
      <c r="BG72" s="138"/>
      <c r="BH72" s="138"/>
      <c r="BI72" s="138"/>
      <c r="BJ72" s="138"/>
      <c r="BK72" s="138"/>
      <c r="BL72" s="138"/>
      <c r="BM72" s="138"/>
      <c r="BN72" s="138"/>
      <c r="BO72" s="138"/>
      <c r="BP72" s="138"/>
      <c r="BQ72" s="138"/>
      <c r="BR72" s="138"/>
      <c r="BS72" s="138"/>
      <c r="BT72" s="138"/>
    </row>
    <row r="73" spans="2:72" ht="16.5" hidden="1" customHeight="1" x14ac:dyDescent="0.3">
      <c r="B73" s="409"/>
      <c r="D73" s="182"/>
      <c r="E73" s="182"/>
      <c r="F73" s="182"/>
      <c r="G73" s="182"/>
      <c r="H73" s="182"/>
      <c r="I73" s="182"/>
      <c r="J73" s="182"/>
      <c r="K73" s="182"/>
      <c r="L73" s="182"/>
      <c r="M73" s="182"/>
      <c r="N73" s="182"/>
      <c r="O73" s="182"/>
      <c r="P73" s="182"/>
      <c r="Q73" s="182"/>
      <c r="R73" s="182"/>
      <c r="S73" s="182"/>
      <c r="T73" s="182"/>
      <c r="U73" s="182"/>
      <c r="V73" s="183"/>
      <c r="W73" s="183"/>
      <c r="X73" s="183"/>
      <c r="Y73" s="183"/>
      <c r="Z73" s="183"/>
      <c r="AA73" s="183"/>
      <c r="AB73" s="183"/>
      <c r="AC73" s="183"/>
      <c r="AD73" s="183"/>
      <c r="AE73" s="183"/>
      <c r="AF73" s="183"/>
      <c r="AG73" s="183"/>
      <c r="AH73" s="183"/>
      <c r="AI73" s="183"/>
      <c r="AJ73" s="183"/>
      <c r="AK73" s="183"/>
      <c r="AL73" s="183"/>
      <c r="AM73" s="183"/>
      <c r="AN73" s="183"/>
      <c r="AO73" s="183"/>
      <c r="AP73" s="183"/>
      <c r="AQ73" s="183"/>
      <c r="AR73" s="183"/>
      <c r="AS73" s="183"/>
      <c r="AT73" s="183"/>
      <c r="AU73" s="183"/>
      <c r="AV73" s="183"/>
      <c r="AW73" s="183"/>
      <c r="AX73" s="183"/>
      <c r="AY73" s="183"/>
      <c r="AZ73" s="183"/>
      <c r="BA73" s="183"/>
      <c r="BB73" s="184"/>
      <c r="BC73" s="184"/>
      <c r="BD73" s="184"/>
      <c r="BE73" s="184"/>
      <c r="BF73" s="138"/>
      <c r="BG73" s="138"/>
      <c r="BH73" s="138"/>
      <c r="BI73" s="138"/>
      <c r="BJ73" s="138"/>
      <c r="BK73" s="138"/>
      <c r="BL73" s="138"/>
      <c r="BM73" s="138"/>
      <c r="BN73" s="138"/>
      <c r="BO73" s="138"/>
      <c r="BP73" s="138"/>
      <c r="BQ73" s="138"/>
      <c r="BR73" s="138"/>
      <c r="BS73" s="138"/>
      <c r="BT73" s="138"/>
    </row>
    <row r="74" spans="2:72" ht="16.5" hidden="1" customHeight="1" x14ac:dyDescent="0.3">
      <c r="D74" s="182"/>
      <c r="E74" s="182"/>
      <c r="F74" s="182"/>
      <c r="G74" s="182"/>
      <c r="H74" s="182"/>
      <c r="I74" s="182"/>
      <c r="J74" s="182"/>
      <c r="K74" s="182"/>
      <c r="L74" s="182"/>
      <c r="M74" s="182"/>
      <c r="N74" s="182"/>
      <c r="O74" s="182"/>
      <c r="P74" s="182"/>
      <c r="Q74" s="182"/>
      <c r="R74" s="182"/>
      <c r="S74" s="182"/>
      <c r="T74" s="182"/>
      <c r="U74" s="182"/>
      <c r="V74" s="183"/>
      <c r="W74" s="183"/>
      <c r="X74" s="183"/>
      <c r="Y74" s="183"/>
      <c r="Z74" s="183"/>
      <c r="AA74" s="183"/>
      <c r="AB74" s="183"/>
      <c r="AC74" s="183"/>
      <c r="AD74" s="183"/>
      <c r="AE74" s="183"/>
      <c r="AF74" s="183"/>
      <c r="AG74" s="183"/>
      <c r="AH74" s="183"/>
      <c r="AI74" s="183"/>
      <c r="AJ74" s="183"/>
      <c r="AK74" s="183"/>
      <c r="AL74" s="183"/>
      <c r="AM74" s="183"/>
      <c r="AN74" s="183"/>
      <c r="AO74" s="183"/>
      <c r="AP74" s="183"/>
      <c r="AQ74" s="183"/>
      <c r="AR74" s="183"/>
      <c r="AS74" s="183"/>
      <c r="AT74" s="183"/>
      <c r="AU74" s="183"/>
      <c r="AV74" s="183"/>
      <c r="AW74" s="183"/>
      <c r="AX74" s="183"/>
      <c r="AY74" s="183"/>
      <c r="AZ74" s="183"/>
      <c r="BA74" s="183"/>
      <c r="BB74" s="184"/>
      <c r="BC74" s="184"/>
      <c r="BD74" s="184"/>
      <c r="BE74" s="184"/>
      <c r="BF74" s="138"/>
      <c r="BG74" s="138"/>
      <c r="BH74" s="138"/>
      <c r="BI74" s="138"/>
      <c r="BJ74" s="138"/>
      <c r="BK74" s="138"/>
      <c r="BL74" s="138"/>
      <c r="BM74" s="138"/>
      <c r="BN74" s="138"/>
      <c r="BO74" s="138"/>
      <c r="BP74" s="138"/>
      <c r="BQ74" s="138"/>
      <c r="BR74" s="138"/>
      <c r="BS74" s="138"/>
      <c r="BT74" s="138"/>
    </row>
    <row r="75" spans="2:72" ht="16.5" hidden="1" customHeight="1" x14ac:dyDescent="0.3">
      <c r="B75" s="409" t="s">
        <v>391</v>
      </c>
      <c r="D75" s="410" t="s">
        <v>408</v>
      </c>
      <c r="E75" s="410"/>
      <c r="F75" s="410"/>
      <c r="G75" s="410"/>
      <c r="H75" s="410"/>
      <c r="I75" s="410"/>
      <c r="J75" s="410"/>
      <c r="K75" s="410"/>
      <c r="L75" s="410"/>
      <c r="M75" s="410"/>
      <c r="N75" s="410"/>
      <c r="O75" s="410"/>
      <c r="P75" s="410"/>
      <c r="Q75" s="410"/>
      <c r="R75" s="410"/>
      <c r="S75" s="410"/>
      <c r="T75" s="410"/>
      <c r="U75" s="410"/>
    </row>
    <row r="76" spans="2:72" ht="16.5" hidden="1" customHeight="1" x14ac:dyDescent="0.3">
      <c r="B76" s="409"/>
      <c r="D76" s="410"/>
      <c r="E76" s="410"/>
      <c r="F76" s="410"/>
      <c r="G76" s="410"/>
      <c r="H76" s="410"/>
      <c r="I76" s="410"/>
      <c r="J76" s="410"/>
      <c r="K76" s="410"/>
      <c r="L76" s="410"/>
      <c r="M76" s="410"/>
      <c r="N76" s="410"/>
      <c r="O76" s="410"/>
      <c r="P76" s="410"/>
      <c r="Q76" s="410"/>
      <c r="R76" s="410"/>
      <c r="S76" s="410"/>
      <c r="T76" s="410"/>
      <c r="U76" s="410"/>
    </row>
    <row r="77" spans="2:72" ht="16.5" hidden="1" customHeight="1" x14ac:dyDescent="0.3">
      <c r="B77" s="409"/>
      <c r="D77" s="411"/>
      <c r="E77" s="411"/>
      <c r="F77" s="411"/>
      <c r="G77" s="411"/>
      <c r="H77" s="411"/>
      <c r="I77" s="411"/>
      <c r="J77" s="411"/>
      <c r="K77" s="411"/>
      <c r="L77" s="411"/>
      <c r="M77" s="411"/>
      <c r="N77" s="411"/>
      <c r="O77" s="411"/>
      <c r="P77" s="411"/>
      <c r="Q77" s="411"/>
      <c r="R77" s="411"/>
      <c r="S77" s="411"/>
      <c r="T77" s="411"/>
      <c r="U77" s="411"/>
    </row>
    <row r="78" spans="2:72" ht="16.5" hidden="1" customHeight="1" x14ac:dyDescent="0.95">
      <c r="B78" s="409"/>
      <c r="D78" s="412" t="s">
        <v>409</v>
      </c>
      <c r="E78" s="412"/>
      <c r="F78" s="412"/>
      <c r="G78" s="412"/>
      <c r="H78" s="412"/>
      <c r="I78" s="412"/>
      <c r="J78" s="412"/>
      <c r="K78" s="412"/>
      <c r="L78" s="412"/>
      <c r="M78" s="412"/>
      <c r="N78" s="412"/>
      <c r="O78" s="412"/>
      <c r="P78" s="412"/>
      <c r="Q78" s="412"/>
      <c r="R78" s="412"/>
      <c r="S78" s="412"/>
      <c r="T78" s="412"/>
      <c r="U78" s="412"/>
      <c r="V78" s="177"/>
      <c r="W78" s="177"/>
      <c r="X78" s="177"/>
      <c r="Y78" s="177"/>
      <c r="Z78" s="177"/>
      <c r="AA78" s="177"/>
      <c r="AB78" s="177"/>
      <c r="AC78" s="177"/>
      <c r="AD78" s="177"/>
      <c r="AE78" s="177"/>
      <c r="AF78" s="177"/>
      <c r="AG78" s="177"/>
      <c r="AH78" s="177"/>
      <c r="AI78" s="177"/>
      <c r="AJ78" s="177"/>
      <c r="AK78" s="177"/>
      <c r="AL78" s="177"/>
      <c r="AM78" s="177"/>
      <c r="AN78" s="177"/>
      <c r="AO78" s="177"/>
      <c r="AP78" s="177"/>
      <c r="AQ78" s="177"/>
      <c r="AR78" s="177"/>
      <c r="AS78" s="177"/>
      <c r="AT78" s="177"/>
      <c r="AU78" s="177"/>
      <c r="AV78" s="177"/>
      <c r="AW78" s="177"/>
      <c r="AX78" s="177"/>
      <c r="AY78" s="177"/>
      <c r="AZ78" s="177"/>
      <c r="BA78" s="177"/>
      <c r="BB78" s="177"/>
      <c r="BC78" s="177"/>
      <c r="BD78" s="177"/>
      <c r="BE78" s="177"/>
    </row>
    <row r="79" spans="2:72" ht="16.5" hidden="1" customHeight="1" x14ac:dyDescent="0.95">
      <c r="B79" s="409"/>
      <c r="V79" s="177"/>
      <c r="W79" s="177"/>
      <c r="X79" s="177"/>
      <c r="Y79" s="177"/>
      <c r="Z79" s="177"/>
      <c r="AA79" s="177"/>
      <c r="AB79" s="177"/>
      <c r="AC79" s="177"/>
      <c r="AD79" s="177"/>
      <c r="AE79" s="177"/>
      <c r="AF79" s="177"/>
      <c r="AG79" s="177"/>
      <c r="AH79" s="177"/>
      <c r="AI79" s="177"/>
      <c r="AJ79" s="177"/>
      <c r="AK79" s="177"/>
      <c r="AL79" s="177"/>
      <c r="AM79" s="177"/>
      <c r="AN79" s="177"/>
      <c r="AO79" s="177"/>
      <c r="AP79" s="177"/>
      <c r="AQ79" s="177"/>
      <c r="AR79" s="177"/>
      <c r="AS79" s="177"/>
      <c r="AT79" s="177"/>
      <c r="AU79" s="177"/>
      <c r="AV79" s="177"/>
      <c r="AW79" s="177"/>
      <c r="AX79" s="177"/>
      <c r="AY79" s="177"/>
      <c r="AZ79" s="177"/>
      <c r="BA79" s="177"/>
      <c r="BB79" s="177"/>
      <c r="BC79" s="177"/>
      <c r="BD79" s="177"/>
      <c r="BE79" s="177"/>
      <c r="BF79" s="138"/>
      <c r="BG79" s="138"/>
      <c r="BH79" s="138"/>
      <c r="BI79" s="138"/>
      <c r="BJ79" s="138"/>
      <c r="BK79" s="138"/>
      <c r="BL79" s="138"/>
      <c r="BM79" s="138"/>
      <c r="BN79" s="138"/>
      <c r="BO79" s="138"/>
      <c r="BP79" s="138"/>
      <c r="BQ79" s="138"/>
      <c r="BR79" s="138"/>
      <c r="BS79" s="138"/>
      <c r="BT79" s="138"/>
    </row>
    <row r="80" spans="2:72" ht="45.5" hidden="1" x14ac:dyDescent="0.95">
      <c r="B80" s="409"/>
      <c r="D80" s="413" t="s">
        <v>26</v>
      </c>
      <c r="E80" s="413"/>
      <c r="F80" s="413"/>
      <c r="G80" s="413"/>
      <c r="H80" s="413"/>
      <c r="I80" s="413"/>
      <c r="J80" s="413"/>
      <c r="K80" s="178"/>
      <c r="L80" s="178"/>
      <c r="M80" s="413" t="s">
        <v>12</v>
      </c>
      <c r="N80" s="413"/>
      <c r="O80" s="413"/>
      <c r="P80" s="413"/>
      <c r="Q80" s="413"/>
      <c r="R80" s="413"/>
      <c r="S80" s="413"/>
      <c r="T80" s="413"/>
      <c r="U80" s="413"/>
      <c r="V80" s="177"/>
      <c r="W80" s="177"/>
      <c r="X80" s="177"/>
      <c r="Y80" s="177"/>
      <c r="Z80" s="177"/>
      <c r="AA80" s="177"/>
      <c r="AB80" s="177"/>
      <c r="AC80" s="177"/>
      <c r="AD80" s="177"/>
      <c r="AE80" s="177"/>
      <c r="AF80" s="177"/>
      <c r="AG80" s="177"/>
      <c r="AH80" s="177"/>
      <c r="AI80" s="177"/>
      <c r="AJ80" s="177"/>
      <c r="AK80" s="177"/>
      <c r="AL80" s="177"/>
      <c r="AM80" s="177"/>
      <c r="AN80" s="177"/>
      <c r="AO80" s="177"/>
      <c r="AP80" s="177"/>
      <c r="AQ80" s="177"/>
      <c r="AR80" s="177"/>
      <c r="AS80" s="177"/>
      <c r="AT80" s="177"/>
      <c r="AU80" s="177"/>
      <c r="AV80" s="177"/>
      <c r="AW80" s="177"/>
      <c r="AX80" s="177"/>
      <c r="AY80" s="177"/>
      <c r="AZ80" s="177"/>
      <c r="BA80" s="177"/>
      <c r="BB80" s="177"/>
      <c r="BC80" s="177"/>
      <c r="BD80" s="177"/>
      <c r="BE80" s="177"/>
      <c r="BF80" s="138"/>
      <c r="BG80" s="138"/>
      <c r="BH80" s="138"/>
      <c r="BI80" s="138"/>
      <c r="BJ80" s="138"/>
      <c r="BK80" s="138"/>
      <c r="BL80" s="138"/>
      <c r="BM80" s="138"/>
      <c r="BN80" s="138"/>
      <c r="BO80" s="138"/>
      <c r="BP80" s="138"/>
      <c r="BQ80" s="138"/>
      <c r="BR80" s="138"/>
      <c r="BS80" s="138"/>
      <c r="BT80" s="138"/>
    </row>
    <row r="81" spans="2:72" ht="75.5" hidden="1" x14ac:dyDescent="1.55">
      <c r="B81" s="409"/>
      <c r="D81" s="414">
        <f>(1-Biodiversity!R45)*SUM(M18:M47)</f>
        <v>0</v>
      </c>
      <c r="E81" s="414"/>
      <c r="F81" s="414"/>
      <c r="G81" s="414"/>
      <c r="H81" s="414"/>
      <c r="I81" s="414"/>
      <c r="J81" s="414"/>
      <c r="K81" s="185"/>
      <c r="L81" s="185"/>
      <c r="M81" s="414">
        <f>(1-Biodiversity!S45)*SUM(U18:U47)</f>
        <v>0</v>
      </c>
      <c r="N81" s="414"/>
      <c r="O81" s="414"/>
      <c r="P81" s="414"/>
      <c r="Q81" s="414"/>
      <c r="R81" s="414"/>
      <c r="S81" s="414"/>
      <c r="T81" s="414"/>
      <c r="U81" s="414"/>
      <c r="V81" s="174"/>
      <c r="W81" s="174"/>
      <c r="X81" s="174"/>
      <c r="Y81" s="174"/>
      <c r="Z81" s="174"/>
      <c r="AA81" s="174"/>
      <c r="AB81" s="174"/>
      <c r="AC81" s="174"/>
      <c r="AD81" s="174"/>
      <c r="AE81" s="174"/>
      <c r="AF81" s="174"/>
      <c r="AG81" s="174"/>
      <c r="AH81" s="174"/>
      <c r="AI81" s="174"/>
      <c r="AJ81" s="174"/>
      <c r="AK81" s="174"/>
      <c r="AL81" s="174"/>
      <c r="AM81" s="174"/>
      <c r="AN81" s="174"/>
      <c r="AO81" s="174"/>
      <c r="AP81" s="174"/>
      <c r="AQ81" s="174"/>
      <c r="AR81" s="174"/>
      <c r="AS81" s="174"/>
      <c r="AT81" s="174"/>
      <c r="AU81" s="174"/>
      <c r="AV81" s="174"/>
      <c r="AW81" s="174"/>
      <c r="AX81" s="174"/>
      <c r="AY81" s="174"/>
      <c r="AZ81" s="174"/>
      <c r="BA81" s="174"/>
      <c r="BB81" s="174"/>
      <c r="BC81" s="174"/>
      <c r="BD81" s="174"/>
      <c r="BE81" s="174"/>
      <c r="BF81" s="138"/>
      <c r="BG81" s="138"/>
      <c r="BH81" s="138"/>
      <c r="BI81" s="138"/>
      <c r="BJ81" s="138"/>
      <c r="BK81" s="138"/>
      <c r="BL81" s="138"/>
      <c r="BM81" s="138"/>
      <c r="BN81" s="138"/>
      <c r="BO81" s="138"/>
      <c r="BP81" s="138"/>
      <c r="BQ81" s="138"/>
      <c r="BR81" s="138"/>
      <c r="BS81" s="138"/>
      <c r="BT81" s="138"/>
    </row>
    <row r="82" spans="2:72" ht="75.5" hidden="1" x14ac:dyDescent="1.55">
      <c r="B82" s="409"/>
      <c r="D82" s="414"/>
      <c r="E82" s="414"/>
      <c r="F82" s="414"/>
      <c r="G82" s="414"/>
      <c r="H82" s="414"/>
      <c r="I82" s="414"/>
      <c r="J82" s="414"/>
      <c r="K82" s="185"/>
      <c r="L82" s="185"/>
      <c r="M82" s="414"/>
      <c r="N82" s="414"/>
      <c r="O82" s="414"/>
      <c r="P82" s="414"/>
      <c r="Q82" s="414"/>
      <c r="R82" s="414"/>
      <c r="S82" s="414"/>
      <c r="T82" s="414"/>
      <c r="U82" s="414"/>
      <c r="BB82" s="138"/>
      <c r="BC82" s="138"/>
      <c r="BD82" s="138"/>
      <c r="BE82" s="138"/>
      <c r="BF82" s="138"/>
      <c r="BG82" s="138"/>
      <c r="BH82" s="138"/>
      <c r="BI82" s="138"/>
      <c r="BJ82" s="138"/>
      <c r="BK82" s="138"/>
      <c r="BL82" s="138"/>
      <c r="BM82" s="138"/>
      <c r="BN82" s="138"/>
      <c r="BO82" s="138"/>
      <c r="BP82" s="138"/>
      <c r="BQ82" s="138"/>
      <c r="BR82" s="138"/>
      <c r="BS82" s="138"/>
      <c r="BT82" s="138"/>
    </row>
    <row r="83" spans="2:72" ht="75.5" hidden="1" x14ac:dyDescent="1.55">
      <c r="B83" s="409"/>
      <c r="D83" s="414"/>
      <c r="E83" s="414"/>
      <c r="F83" s="414"/>
      <c r="G83" s="414"/>
      <c r="H83" s="414"/>
      <c r="I83" s="414"/>
      <c r="J83" s="414"/>
      <c r="K83" s="185"/>
      <c r="L83" s="185"/>
      <c r="M83" s="414"/>
      <c r="N83" s="414"/>
      <c r="O83" s="414"/>
      <c r="P83" s="414"/>
      <c r="Q83" s="414"/>
      <c r="R83" s="414"/>
      <c r="S83" s="414"/>
      <c r="T83" s="414"/>
      <c r="U83" s="414"/>
      <c r="V83" s="180"/>
      <c r="W83" s="180"/>
      <c r="X83" s="180"/>
      <c r="Y83" s="180"/>
      <c r="Z83" s="180"/>
      <c r="AA83" s="180"/>
      <c r="AB83" s="180"/>
      <c r="AC83" s="180"/>
      <c r="AD83" s="180"/>
      <c r="AE83" s="180"/>
      <c r="AF83" s="180"/>
      <c r="AG83" s="180"/>
      <c r="AH83" s="180"/>
      <c r="AI83" s="180"/>
      <c r="AJ83" s="180"/>
      <c r="AK83" s="180"/>
      <c r="AL83" s="180"/>
      <c r="AM83" s="180"/>
      <c r="AN83" s="180"/>
      <c r="AO83" s="180"/>
      <c r="AP83" s="180"/>
      <c r="AQ83" s="180"/>
      <c r="AR83" s="180"/>
      <c r="AS83" s="180"/>
      <c r="AT83" s="180"/>
      <c r="AU83" s="180"/>
      <c r="AV83" s="180"/>
      <c r="AW83" s="180"/>
      <c r="AX83" s="180"/>
      <c r="AY83" s="180"/>
      <c r="AZ83" s="180"/>
      <c r="BA83" s="180"/>
      <c r="BB83" s="181"/>
      <c r="BC83" s="181"/>
      <c r="BD83" s="181"/>
      <c r="BE83" s="181"/>
      <c r="BF83" s="138"/>
      <c r="BG83" s="138"/>
      <c r="BH83" s="138"/>
      <c r="BI83" s="138"/>
      <c r="BJ83" s="138"/>
      <c r="BK83" s="138"/>
      <c r="BL83" s="138"/>
      <c r="BM83" s="138"/>
      <c r="BN83" s="138"/>
      <c r="BO83" s="138"/>
      <c r="BP83" s="138"/>
      <c r="BQ83" s="138"/>
      <c r="BR83" s="138"/>
      <c r="BS83" s="138"/>
      <c r="BT83" s="138"/>
    </row>
    <row r="84" spans="2:72" ht="75.5" hidden="1" x14ac:dyDescent="1.55">
      <c r="B84" s="409"/>
      <c r="D84" s="414"/>
      <c r="E84" s="414"/>
      <c r="F84" s="414"/>
      <c r="G84" s="414"/>
      <c r="H84" s="414"/>
      <c r="I84" s="414"/>
      <c r="J84" s="414"/>
      <c r="K84" s="185"/>
      <c r="L84" s="185"/>
      <c r="M84" s="414"/>
      <c r="N84" s="414"/>
      <c r="O84" s="414"/>
      <c r="P84" s="414"/>
      <c r="Q84" s="414"/>
      <c r="R84" s="414"/>
      <c r="S84" s="414"/>
      <c r="T84" s="414"/>
      <c r="U84" s="414"/>
      <c r="BB84" s="138"/>
      <c r="BC84" s="138"/>
      <c r="BD84" s="138"/>
      <c r="BE84" s="138"/>
      <c r="BF84" s="138"/>
      <c r="BG84" s="138"/>
      <c r="BH84" s="138"/>
      <c r="BI84" s="138"/>
      <c r="BJ84" s="138"/>
      <c r="BK84" s="138"/>
      <c r="BL84" s="138"/>
      <c r="BM84" s="138"/>
      <c r="BN84" s="138"/>
      <c r="BO84" s="138"/>
      <c r="BP84" s="138"/>
      <c r="BQ84" s="138"/>
      <c r="BR84" s="138"/>
      <c r="BS84" s="138"/>
      <c r="BT84" s="138"/>
    </row>
    <row r="85" spans="2:72" ht="90.5" hidden="1" x14ac:dyDescent="0.3">
      <c r="B85" s="409"/>
      <c r="D85" s="182"/>
      <c r="E85" s="182"/>
      <c r="F85" s="182"/>
      <c r="G85" s="182"/>
      <c r="H85" s="182"/>
      <c r="I85" s="182"/>
      <c r="J85" s="182"/>
      <c r="K85" s="182"/>
      <c r="L85" s="182"/>
      <c r="M85" s="182"/>
      <c r="N85" s="182"/>
      <c r="O85" s="182"/>
      <c r="P85" s="182"/>
      <c r="Q85" s="182"/>
      <c r="R85" s="182"/>
      <c r="S85" s="182"/>
      <c r="T85" s="182"/>
      <c r="U85" s="182"/>
      <c r="V85" s="183"/>
      <c r="W85" s="183"/>
      <c r="X85" s="183"/>
      <c r="Y85" s="183"/>
      <c r="Z85" s="183"/>
      <c r="AA85" s="183"/>
      <c r="AB85" s="183"/>
      <c r="AC85" s="183"/>
      <c r="AD85" s="183"/>
      <c r="AE85" s="183"/>
      <c r="AF85" s="183"/>
      <c r="AG85" s="183"/>
      <c r="AH85" s="183"/>
      <c r="AI85" s="183"/>
      <c r="AJ85" s="183"/>
      <c r="AK85" s="183"/>
      <c r="AL85" s="183"/>
      <c r="AM85" s="183"/>
      <c r="AN85" s="183"/>
      <c r="AO85" s="183"/>
      <c r="AP85" s="183"/>
      <c r="AQ85" s="183"/>
      <c r="AR85" s="183"/>
      <c r="AS85" s="183"/>
      <c r="AT85" s="183"/>
      <c r="AU85" s="183"/>
      <c r="AV85" s="183"/>
      <c r="AW85" s="183"/>
      <c r="AX85" s="183"/>
      <c r="AY85" s="183"/>
      <c r="AZ85" s="183"/>
      <c r="BA85" s="183"/>
      <c r="BB85" s="184"/>
      <c r="BC85" s="184"/>
      <c r="BD85" s="184"/>
      <c r="BE85" s="184"/>
      <c r="BF85" s="138"/>
      <c r="BG85" s="138"/>
      <c r="BH85" s="138"/>
      <c r="BI85" s="138"/>
      <c r="BJ85" s="138"/>
      <c r="BK85" s="138"/>
      <c r="BL85" s="138"/>
      <c r="BM85" s="138"/>
      <c r="BN85" s="138"/>
      <c r="BO85" s="138"/>
      <c r="BP85" s="138"/>
      <c r="BQ85" s="138"/>
      <c r="BR85" s="138"/>
      <c r="BS85" s="138"/>
      <c r="BT85" s="138"/>
    </row>
    <row r="86" spans="2:72" ht="90.5" hidden="1" x14ac:dyDescent="0.3">
      <c r="D86" s="182"/>
      <c r="E86" s="182"/>
      <c r="F86" s="182"/>
      <c r="G86" s="182"/>
      <c r="H86" s="182"/>
      <c r="I86" s="182"/>
      <c r="J86" s="182"/>
      <c r="K86" s="182"/>
      <c r="L86" s="182"/>
      <c r="M86" s="182"/>
      <c r="N86" s="182"/>
      <c r="O86" s="182"/>
      <c r="P86" s="182"/>
      <c r="Q86" s="182"/>
      <c r="R86" s="182"/>
      <c r="S86" s="182"/>
      <c r="T86" s="182"/>
      <c r="U86" s="182"/>
      <c r="V86" s="183"/>
      <c r="W86" s="183"/>
      <c r="X86" s="183"/>
      <c r="Y86" s="183"/>
      <c r="Z86" s="183"/>
      <c r="AA86" s="183"/>
      <c r="AB86" s="183"/>
      <c r="AC86" s="183"/>
      <c r="AD86" s="183"/>
      <c r="AE86" s="183"/>
      <c r="AF86" s="183"/>
      <c r="AG86" s="183"/>
      <c r="AH86" s="183"/>
      <c r="AI86" s="183"/>
      <c r="AJ86" s="183"/>
      <c r="AK86" s="183"/>
      <c r="AL86" s="183"/>
      <c r="AM86" s="183"/>
      <c r="AN86" s="183"/>
      <c r="AO86" s="183"/>
      <c r="AP86" s="183"/>
      <c r="AQ86" s="183"/>
      <c r="AR86" s="183"/>
      <c r="AS86" s="183"/>
      <c r="AT86" s="183"/>
      <c r="AU86" s="183"/>
      <c r="AV86" s="183"/>
      <c r="AW86" s="183"/>
      <c r="AX86" s="183"/>
      <c r="AY86" s="183"/>
      <c r="AZ86" s="183"/>
      <c r="BA86" s="183"/>
      <c r="BB86" s="183"/>
      <c r="BC86" s="183"/>
      <c r="BD86" s="183"/>
      <c r="BE86" s="183"/>
    </row>
    <row r="87" spans="2:72" ht="90.5" hidden="1" x14ac:dyDescent="0.3">
      <c r="B87" s="409" t="s">
        <v>332</v>
      </c>
      <c r="D87" s="410" t="s">
        <v>233</v>
      </c>
      <c r="E87" s="410"/>
      <c r="F87" s="410"/>
      <c r="G87" s="410"/>
      <c r="H87" s="410"/>
      <c r="I87" s="410"/>
      <c r="J87" s="410"/>
      <c r="K87" s="410"/>
      <c r="L87" s="410"/>
      <c r="M87" s="410"/>
      <c r="N87" s="410"/>
      <c r="O87" s="410"/>
      <c r="P87" s="410"/>
      <c r="Q87" s="410"/>
      <c r="R87" s="410"/>
      <c r="S87" s="410"/>
      <c r="T87" s="410"/>
      <c r="U87" s="410"/>
      <c r="V87" s="183"/>
      <c r="W87" s="183"/>
      <c r="X87" s="183"/>
      <c r="Y87" s="183"/>
      <c r="Z87" s="183"/>
      <c r="AA87" s="183"/>
      <c r="AB87" s="183"/>
      <c r="AC87" s="183"/>
      <c r="AD87" s="183"/>
      <c r="AE87" s="183"/>
      <c r="AF87" s="183"/>
      <c r="AG87" s="183"/>
      <c r="AH87" s="183"/>
      <c r="AI87" s="183"/>
      <c r="AJ87" s="183"/>
      <c r="AK87" s="183"/>
      <c r="AL87" s="183"/>
      <c r="AM87" s="183"/>
      <c r="AN87" s="183"/>
      <c r="AO87" s="183"/>
      <c r="AP87" s="183"/>
      <c r="AQ87" s="183"/>
      <c r="AR87" s="183"/>
      <c r="AS87" s="183"/>
      <c r="AT87" s="183"/>
      <c r="AU87" s="183"/>
      <c r="AV87" s="183"/>
      <c r="AW87" s="183"/>
      <c r="AX87" s="183"/>
      <c r="AY87" s="183"/>
      <c r="AZ87" s="183"/>
      <c r="BA87" s="183"/>
      <c r="BB87" s="183"/>
      <c r="BC87" s="183"/>
      <c r="BD87" s="183"/>
      <c r="BE87" s="183"/>
    </row>
    <row r="88" spans="2:72" ht="90.5" hidden="1" x14ac:dyDescent="0.3">
      <c r="B88" s="409"/>
      <c r="D88" s="410"/>
      <c r="E88" s="410"/>
      <c r="F88" s="410"/>
      <c r="G88" s="410"/>
      <c r="H88" s="410"/>
      <c r="I88" s="410"/>
      <c r="J88" s="410"/>
      <c r="K88" s="410"/>
      <c r="L88" s="410"/>
      <c r="M88" s="410"/>
      <c r="N88" s="410"/>
      <c r="O88" s="410"/>
      <c r="P88" s="410"/>
      <c r="Q88" s="410"/>
      <c r="R88" s="410"/>
      <c r="S88" s="410"/>
      <c r="T88" s="410"/>
      <c r="U88" s="410"/>
      <c r="V88" s="183"/>
      <c r="W88" s="183"/>
      <c r="X88" s="183"/>
      <c r="Y88" s="183"/>
      <c r="Z88" s="183"/>
      <c r="AA88" s="183"/>
      <c r="AB88" s="183"/>
      <c r="AC88" s="183"/>
      <c r="AD88" s="183"/>
      <c r="AE88" s="183"/>
      <c r="AF88" s="183"/>
      <c r="AG88" s="183"/>
      <c r="AH88" s="183"/>
      <c r="AI88" s="183"/>
      <c r="AJ88" s="183"/>
      <c r="AK88" s="183"/>
      <c r="AL88" s="183"/>
      <c r="AM88" s="183"/>
      <c r="AN88" s="183"/>
      <c r="AO88" s="183"/>
      <c r="AP88" s="183"/>
      <c r="AQ88" s="183"/>
      <c r="AR88" s="183"/>
      <c r="AS88" s="183"/>
      <c r="AT88" s="183"/>
      <c r="AU88" s="183"/>
      <c r="AV88" s="183"/>
      <c r="AW88" s="183"/>
      <c r="AX88" s="183"/>
      <c r="AY88" s="183"/>
      <c r="AZ88" s="183"/>
      <c r="BA88" s="183"/>
      <c r="BB88" s="183"/>
      <c r="BC88" s="183"/>
      <c r="BD88" s="183"/>
      <c r="BE88" s="183"/>
    </row>
    <row r="89" spans="2:72" hidden="1" x14ac:dyDescent="0.3">
      <c r="B89" s="409"/>
      <c r="D89" s="411"/>
      <c r="E89" s="411"/>
      <c r="F89" s="411"/>
      <c r="G89" s="411"/>
      <c r="H89" s="411"/>
      <c r="I89" s="411"/>
      <c r="J89" s="411"/>
      <c r="K89" s="411"/>
      <c r="L89" s="411"/>
      <c r="M89" s="411"/>
      <c r="N89" s="411"/>
      <c r="O89" s="411"/>
      <c r="P89" s="411"/>
      <c r="Q89" s="411"/>
      <c r="R89" s="411"/>
      <c r="S89" s="411"/>
      <c r="T89" s="411"/>
      <c r="U89" s="411"/>
    </row>
    <row r="90" spans="2:72" hidden="1" x14ac:dyDescent="0.3">
      <c r="B90" s="409"/>
      <c r="D90" s="412" t="e">
        <f>CONCATENATE("of the ",#REF!, " project")</f>
        <v>#REF!</v>
      </c>
      <c r="E90" s="412"/>
      <c r="F90" s="412"/>
      <c r="G90" s="412"/>
      <c r="H90" s="412"/>
      <c r="I90" s="412"/>
      <c r="J90" s="412"/>
      <c r="K90" s="412"/>
      <c r="L90" s="412"/>
      <c r="M90" s="412"/>
      <c r="N90" s="412"/>
      <c r="O90" s="412"/>
      <c r="P90" s="412"/>
      <c r="Q90" s="412"/>
      <c r="R90" s="412"/>
      <c r="S90" s="412"/>
      <c r="T90" s="412"/>
      <c r="U90" s="412"/>
    </row>
    <row r="91" spans="2:72" hidden="1" x14ac:dyDescent="0.3">
      <c r="B91" s="409"/>
    </row>
    <row r="92" spans="2:72" ht="14.5" hidden="1" x14ac:dyDescent="0.35">
      <c r="B92" s="409"/>
      <c r="D92" s="413" t="s">
        <v>26</v>
      </c>
      <c r="E92" s="413"/>
      <c r="F92" s="413"/>
      <c r="G92" s="413"/>
      <c r="H92" s="413"/>
      <c r="I92" s="413"/>
      <c r="J92" s="413"/>
      <c r="K92" s="178"/>
      <c r="L92" s="178"/>
      <c r="M92" s="413" t="s">
        <v>12</v>
      </c>
      <c r="N92" s="413"/>
      <c r="O92" s="413"/>
      <c r="P92" s="413"/>
      <c r="Q92" s="413"/>
      <c r="R92" s="413"/>
      <c r="S92" s="413"/>
      <c r="T92" s="413"/>
      <c r="U92" s="413"/>
    </row>
    <row r="93" spans="2:72" ht="75.5" hidden="1" x14ac:dyDescent="1.55">
      <c r="B93" s="409"/>
      <c r="D93" s="423">
        <f>Biodiversity!R52</f>
        <v>0</v>
      </c>
      <c r="E93" s="423"/>
      <c r="F93" s="423"/>
      <c r="G93" s="423"/>
      <c r="H93" s="423"/>
      <c r="I93" s="423"/>
      <c r="J93" s="423"/>
      <c r="K93" s="179"/>
      <c r="L93" s="179"/>
      <c r="M93" s="423">
        <f>Biodiversity!S52</f>
        <v>0</v>
      </c>
      <c r="N93" s="423"/>
      <c r="O93" s="423"/>
      <c r="P93" s="423"/>
      <c r="Q93" s="423"/>
      <c r="R93" s="423"/>
      <c r="S93" s="423"/>
      <c r="T93" s="423"/>
      <c r="U93" s="423"/>
    </row>
    <row r="94" spans="2:72" ht="75.5" hidden="1" x14ac:dyDescent="1.55">
      <c r="B94" s="409"/>
      <c r="D94" s="423"/>
      <c r="E94" s="423"/>
      <c r="F94" s="423"/>
      <c r="G94" s="423"/>
      <c r="H94" s="423"/>
      <c r="I94" s="423"/>
      <c r="J94" s="423"/>
      <c r="K94" s="179"/>
      <c r="L94" s="179"/>
      <c r="M94" s="423"/>
      <c r="N94" s="423"/>
      <c r="O94" s="423"/>
      <c r="P94" s="423"/>
      <c r="Q94" s="423"/>
      <c r="R94" s="423"/>
      <c r="S94" s="423"/>
      <c r="T94" s="423"/>
      <c r="U94" s="423"/>
    </row>
    <row r="95" spans="2:72" ht="75.5" hidden="1" x14ac:dyDescent="1.55">
      <c r="B95" s="409"/>
      <c r="D95" s="423"/>
      <c r="E95" s="423"/>
      <c r="F95" s="423"/>
      <c r="G95" s="423"/>
      <c r="H95" s="423"/>
      <c r="I95" s="423"/>
      <c r="J95" s="423"/>
      <c r="K95" s="179"/>
      <c r="L95" s="179"/>
      <c r="M95" s="423"/>
      <c r="N95" s="423"/>
      <c r="O95" s="423"/>
      <c r="P95" s="423"/>
      <c r="Q95" s="423"/>
      <c r="R95" s="423"/>
      <c r="S95" s="423"/>
      <c r="T95" s="423"/>
      <c r="U95" s="423"/>
    </row>
    <row r="96" spans="2:72" ht="75.5" hidden="1" x14ac:dyDescent="1.55">
      <c r="B96" s="409"/>
      <c r="D96" s="423"/>
      <c r="E96" s="423"/>
      <c r="F96" s="423"/>
      <c r="G96" s="423"/>
      <c r="H96" s="423"/>
      <c r="I96" s="423"/>
      <c r="J96" s="423"/>
      <c r="K96" s="179"/>
      <c r="L96" s="179"/>
      <c r="M96" s="423"/>
      <c r="N96" s="423"/>
      <c r="O96" s="423"/>
      <c r="P96" s="423"/>
      <c r="Q96" s="423"/>
      <c r="R96" s="423"/>
      <c r="S96" s="423"/>
      <c r="T96" s="423"/>
      <c r="U96" s="423"/>
    </row>
    <row r="97" spans="1:84" ht="90.5" hidden="1" x14ac:dyDescent="0.3">
      <c r="B97" s="409"/>
      <c r="D97" s="182"/>
      <c r="E97" s="182"/>
      <c r="F97" s="182"/>
      <c r="G97" s="182"/>
      <c r="H97" s="182"/>
      <c r="I97" s="182"/>
      <c r="J97" s="182"/>
      <c r="K97" s="182"/>
      <c r="L97" s="182"/>
      <c r="M97" s="182"/>
      <c r="N97" s="182"/>
      <c r="O97" s="182"/>
      <c r="P97" s="182"/>
      <c r="Q97" s="182"/>
      <c r="R97" s="182"/>
      <c r="S97" s="182"/>
      <c r="T97" s="182"/>
      <c r="U97" s="182"/>
    </row>
    <row r="98" spans="1:84" ht="16.5" customHeight="1" x14ac:dyDescent="0.3">
      <c r="D98" s="182"/>
      <c r="E98" s="182"/>
      <c r="F98" s="182"/>
      <c r="G98" s="182"/>
      <c r="H98" s="182"/>
      <c r="I98" s="182"/>
      <c r="J98" s="182"/>
      <c r="K98" s="182"/>
      <c r="L98" s="182"/>
      <c r="M98" s="182"/>
      <c r="N98" s="182"/>
      <c r="O98" s="182"/>
      <c r="P98" s="182"/>
      <c r="Q98" s="182"/>
      <c r="R98" s="182"/>
      <c r="S98" s="182"/>
      <c r="T98" s="182"/>
      <c r="U98" s="182"/>
    </row>
    <row r="99" spans="1:84" ht="16.5" customHeight="1" x14ac:dyDescent="0.3">
      <c r="D99" s="182"/>
      <c r="E99" s="182"/>
      <c r="F99" s="182"/>
      <c r="G99" s="395" t="s">
        <v>681</v>
      </c>
      <c r="H99" s="395"/>
      <c r="I99" s="395"/>
      <c r="J99" s="395"/>
      <c r="K99" s="395"/>
      <c r="L99" s="395"/>
      <c r="M99" s="395"/>
      <c r="N99" s="395"/>
      <c r="O99" s="395"/>
      <c r="P99" s="395"/>
      <c r="Q99" s="395"/>
      <c r="R99" s="395"/>
      <c r="S99" s="395"/>
      <c r="T99" s="395"/>
      <c r="U99" s="395"/>
      <c r="V99" s="395"/>
      <c r="W99" s="395"/>
      <c r="X99" s="395"/>
      <c r="Y99" s="395"/>
      <c r="Z99" s="395"/>
      <c r="AA99" s="395"/>
      <c r="AB99" s="395"/>
      <c r="AC99" s="395"/>
      <c r="AD99" s="395"/>
      <c r="AE99" s="395"/>
      <c r="AF99" s="395"/>
      <c r="AG99" s="395"/>
      <c r="AH99" s="395"/>
      <c r="AI99" s="395"/>
      <c r="AJ99" s="395"/>
      <c r="AK99" s="395"/>
      <c r="AL99" s="395"/>
      <c r="AM99" s="395"/>
      <c r="AN99" s="395"/>
      <c r="AO99" s="395"/>
      <c r="AP99" s="395"/>
      <c r="AQ99" s="395"/>
      <c r="AR99" s="395"/>
      <c r="AS99" s="395"/>
      <c r="AT99" s="395"/>
      <c r="AU99" s="395"/>
      <c r="AV99" s="395"/>
      <c r="AW99" s="395"/>
      <c r="AX99" s="395"/>
      <c r="AY99" s="395"/>
      <c r="AZ99" s="395"/>
      <c r="BA99" s="395"/>
      <c r="BB99" s="395"/>
      <c r="BC99" s="395"/>
      <c r="BD99" s="395"/>
      <c r="BE99" s="395"/>
      <c r="BF99" s="395"/>
    </row>
    <row r="100" spans="1:84" ht="16.5" customHeight="1" x14ac:dyDescent="0.3">
      <c r="B100" s="394" t="s">
        <v>680</v>
      </c>
      <c r="C100" s="186"/>
      <c r="D100" s="186"/>
      <c r="E100" s="182"/>
      <c r="F100" s="182"/>
      <c r="G100" s="182"/>
      <c r="H100" s="182"/>
      <c r="I100" s="182"/>
      <c r="J100" s="182"/>
      <c r="K100" s="182"/>
      <c r="L100" s="182"/>
      <c r="M100" s="182"/>
      <c r="N100" s="182"/>
      <c r="O100" s="182"/>
      <c r="P100" s="182"/>
      <c r="Q100" s="182"/>
      <c r="R100" s="182"/>
      <c r="S100" s="182"/>
      <c r="T100" s="182"/>
      <c r="U100" s="182"/>
    </row>
    <row r="101" spans="1:84" ht="16.5" customHeight="1" x14ac:dyDescent="0.4">
      <c r="B101" s="394"/>
      <c r="C101" s="186"/>
      <c r="D101" s="186"/>
      <c r="E101" s="182"/>
      <c r="G101" s="187" t="s">
        <v>670</v>
      </c>
      <c r="I101" s="187"/>
      <c r="J101" s="427" t="s">
        <v>166</v>
      </c>
      <c r="K101" s="427"/>
      <c r="L101" s="427"/>
      <c r="M101" s="427"/>
      <c r="O101" s="427" t="s">
        <v>125</v>
      </c>
      <c r="P101" s="427"/>
      <c r="Q101" s="188"/>
      <c r="S101" s="187"/>
      <c r="T101" s="187"/>
      <c r="U101" s="187" t="s">
        <v>671</v>
      </c>
      <c r="V101" s="187"/>
      <c r="Z101" s="427" t="s">
        <v>166</v>
      </c>
      <c r="AA101" s="427"/>
      <c r="AB101" s="427"/>
      <c r="AC101" s="427"/>
      <c r="AD101" s="427"/>
      <c r="AE101" s="427"/>
      <c r="AF101" s="427"/>
      <c r="AH101" s="427" t="s">
        <v>125</v>
      </c>
      <c r="AI101" s="427"/>
      <c r="AJ101" s="427"/>
      <c r="AK101" s="427"/>
      <c r="AL101" s="427"/>
      <c r="AM101" s="427"/>
      <c r="AN101" s="427"/>
      <c r="AZ101" s="187" t="s">
        <v>672</v>
      </c>
      <c r="BD101" s="189" t="s">
        <v>166</v>
      </c>
      <c r="BE101" s="187"/>
      <c r="BF101" s="189" t="s">
        <v>125</v>
      </c>
      <c r="BG101" s="187"/>
      <c r="BH101" s="187"/>
    </row>
    <row r="102" spans="1:84" ht="16.5" customHeight="1" x14ac:dyDescent="0.3">
      <c r="B102" s="394"/>
      <c r="C102" s="186"/>
      <c r="D102" s="186"/>
      <c r="E102" s="190">
        <v>1</v>
      </c>
      <c r="F102" s="191"/>
      <c r="G102" s="385" t="str">
        <f>IFERROR(VLOOKUP(CONCATENATE(IF(Start!$D$28&gt;1000,CONCATENATE(Start!$D$20," Mountain"),Start!$D$20), Start!$D$24,'ESVD - Land Use &amp; Climate Match'!$A$1)&amp;"1",'ESVD - SUMMARY TABLE'!$E$2:$F$47,2,FALSE)," ")</f>
        <v xml:space="preserve"> </v>
      </c>
      <c r="H102" s="371"/>
      <c r="I102" s="371"/>
      <c r="J102" s="425">
        <v>1</v>
      </c>
      <c r="K102" s="425"/>
      <c r="L102" s="425"/>
      <c r="M102" s="425"/>
      <c r="N102" s="386"/>
      <c r="O102" s="426">
        <v>0</v>
      </c>
      <c r="P102" s="426"/>
      <c r="Q102" s="397" t="str">
        <f>IF(OR(SUM(O102:P105)=1,SUM(O102:P105)=0)," ","&lt; Check if 100%!")</f>
        <v xml:space="preserve"> </v>
      </c>
      <c r="R102" s="387"/>
      <c r="S102" s="384"/>
      <c r="T102" s="384"/>
      <c r="U102" s="385" t="str">
        <f>IFERROR(VLOOKUP(CONCATENATE(IF(Start!$D$28&gt;1000,CONCATENATE(Start!$D$20," Mountain"),Start!$D$20), Start!$D$24,'ESVD - Land Use &amp; Climate Match'!$A$11)&amp;"1",'ESVD - SUMMARY TABLE'!$E$69:$F$117,2,FALSE)," ")</f>
        <v xml:space="preserve"> </v>
      </c>
      <c r="V102" s="384"/>
      <c r="W102" s="384"/>
      <c r="X102" s="371"/>
      <c r="Y102" s="371"/>
      <c r="Z102" s="425">
        <v>1</v>
      </c>
      <c r="AA102" s="425"/>
      <c r="AB102" s="425"/>
      <c r="AC102" s="425"/>
      <c r="AD102" s="425"/>
      <c r="AE102" s="425"/>
      <c r="AF102" s="425"/>
      <c r="AG102" s="371"/>
      <c r="AH102" s="426">
        <v>0</v>
      </c>
      <c r="AI102" s="426"/>
      <c r="AJ102" s="426"/>
      <c r="AK102" s="426"/>
      <c r="AL102" s="426"/>
      <c r="AM102" s="426"/>
      <c r="AN102" s="426"/>
      <c r="AO102" s="397" t="str">
        <f>IF(OR(SUM(AH102:AN105)=1,SUM(AH102:AN105)=0)," ","&lt; Check if 100%!")</f>
        <v xml:space="preserve"> </v>
      </c>
      <c r="AP102" s="397"/>
      <c r="AQ102" s="397"/>
      <c r="AR102" s="397"/>
      <c r="AS102" s="397"/>
      <c r="AT102" s="397"/>
      <c r="AU102" s="397"/>
      <c r="AV102" s="371"/>
      <c r="AW102" s="371"/>
      <c r="AX102" s="371"/>
      <c r="AY102" s="371"/>
      <c r="AZ102" s="385" t="str">
        <f>IFERROR(VLOOKUP(CONCATENATE(IF(Start!$D$28&gt;1000,CONCATENATE(Start!$D$20," Mountain"),Start!$D$20), Start!$D$24,'ESVD - Land Use &amp; Climate Match'!$A$32)&amp;"1",'ESVD - SUMMARY TABLE'!$E$223:$F$279,2,FALSE)," ")</f>
        <v xml:space="preserve"> </v>
      </c>
      <c r="BA102" s="371"/>
      <c r="BB102" s="371"/>
      <c r="BC102" s="371"/>
      <c r="BD102" s="388">
        <v>1</v>
      </c>
      <c r="BE102" s="371"/>
      <c r="BF102" s="389">
        <v>0</v>
      </c>
      <c r="BG102" s="398" t="str">
        <f>IF(OR(SUM(BF102:BF106)=1,SUM(BF102:BF106)=0)," ","&lt; Check if 100%!")</f>
        <v xml:space="preserve"> </v>
      </c>
      <c r="BH102" s="398"/>
    </row>
    <row r="103" spans="1:84" ht="16.5" customHeight="1" x14ac:dyDescent="0.3">
      <c r="B103" s="394"/>
      <c r="C103" s="186"/>
      <c r="D103" s="186"/>
      <c r="E103" s="190">
        <v>2</v>
      </c>
      <c r="F103" s="191"/>
      <c r="G103" s="385" t="str">
        <f>IFERROR(VLOOKUP(CONCATENATE(IF(Start!$D$28&gt;1000,CONCATENATE(Start!$D$20," Mountain"),Start!$D$20), Start!$D$24,'ESVD - Land Use &amp; Climate Match'!$A$1)&amp;"2",'ESVD - SUMMARY TABLE'!$E$2:$F$47,2,FALSE)," ")</f>
        <v xml:space="preserve"> </v>
      </c>
      <c r="H103" s="371"/>
      <c r="I103" s="371"/>
      <c r="J103" s="425">
        <v>0</v>
      </c>
      <c r="K103" s="425"/>
      <c r="L103" s="425"/>
      <c r="M103" s="425"/>
      <c r="N103" s="386"/>
      <c r="O103" s="426">
        <v>0</v>
      </c>
      <c r="P103" s="426"/>
      <c r="Q103" s="397"/>
      <c r="R103" s="387"/>
      <c r="S103" s="384"/>
      <c r="T103" s="384"/>
      <c r="U103" s="385" t="str">
        <f>IFERROR(VLOOKUP(CONCATENATE(IF(Start!$D$28&gt;1000,CONCATENATE(Start!$D$20," Mountain"),Start!$D$20), Start!$D$24,'ESVD - Land Use &amp; Climate Match'!$A$11)&amp;"2",'ESVD - SUMMARY TABLE'!$E$69:$F$117,2,FALSE)," ")</f>
        <v xml:space="preserve"> </v>
      </c>
      <c r="V103" s="384"/>
      <c r="W103" s="384"/>
      <c r="X103" s="371"/>
      <c r="Y103" s="371"/>
      <c r="Z103" s="425">
        <v>0</v>
      </c>
      <c r="AA103" s="425"/>
      <c r="AB103" s="425"/>
      <c r="AC103" s="425"/>
      <c r="AD103" s="425"/>
      <c r="AE103" s="425"/>
      <c r="AF103" s="425"/>
      <c r="AG103" s="371"/>
      <c r="AH103" s="426">
        <v>0</v>
      </c>
      <c r="AI103" s="426"/>
      <c r="AJ103" s="426"/>
      <c r="AK103" s="426"/>
      <c r="AL103" s="426"/>
      <c r="AM103" s="426"/>
      <c r="AN103" s="426"/>
      <c r="AO103" s="397"/>
      <c r="AP103" s="397"/>
      <c r="AQ103" s="397"/>
      <c r="AR103" s="397"/>
      <c r="AS103" s="397"/>
      <c r="AT103" s="397"/>
      <c r="AU103" s="397"/>
      <c r="AV103" s="371"/>
      <c r="AW103" s="371"/>
      <c r="AX103" s="371"/>
      <c r="AY103" s="371"/>
      <c r="AZ103" s="385" t="str">
        <f>IFERROR(VLOOKUP(CONCATENATE(IF(Start!$D$28&gt;1000,CONCATENATE(Start!$D$20," Mountain"),Start!$D$20), Start!$D$24,'ESVD - Land Use &amp; Climate Match'!$A$32)&amp;"2",'ESVD - SUMMARY TABLE'!$E$223:$F$279,2,FALSE)," ")</f>
        <v xml:space="preserve"> </v>
      </c>
      <c r="BA103" s="371"/>
      <c r="BB103" s="371"/>
      <c r="BC103" s="371"/>
      <c r="BD103" s="388">
        <v>0</v>
      </c>
      <c r="BE103" s="371"/>
      <c r="BF103" s="389">
        <v>0</v>
      </c>
      <c r="BG103" s="398"/>
      <c r="BH103" s="398"/>
    </row>
    <row r="104" spans="1:84" ht="16.5" customHeight="1" x14ac:dyDescent="0.3">
      <c r="B104" s="394"/>
      <c r="C104" s="186"/>
      <c r="D104" s="186"/>
      <c r="E104" s="190">
        <v>3</v>
      </c>
      <c r="F104" s="191"/>
      <c r="G104" s="385" t="str">
        <f>IFERROR(VLOOKUP(CONCATENATE(IF(Start!$D$28&gt;1000,CONCATENATE(Start!$D$20," Mountain"),Start!$D$20), Start!$D$24,'ESVD - Land Use &amp; Climate Match'!$A$1)&amp;"3",'ESVD - SUMMARY TABLE'!$E$2:$F$47,2,FALSE)," ")</f>
        <v xml:space="preserve"> </v>
      </c>
      <c r="H104" s="371"/>
      <c r="I104" s="371"/>
      <c r="J104" s="425">
        <v>0</v>
      </c>
      <c r="K104" s="425"/>
      <c r="L104" s="425"/>
      <c r="M104" s="425"/>
      <c r="N104" s="386"/>
      <c r="O104" s="426">
        <v>0</v>
      </c>
      <c r="P104" s="426"/>
      <c r="Q104" s="397"/>
      <c r="R104" s="387"/>
      <c r="S104" s="384"/>
      <c r="T104" s="384"/>
      <c r="U104" s="385" t="str">
        <f>IFERROR(VLOOKUP(CONCATENATE(IF(Start!$D$28&gt;1000,CONCATENATE(Start!$D$20," Mountain"),Start!$D$20), Start!$D$24,'ESVD - Land Use &amp; Climate Match'!$A$11)&amp;"3",'ESVD - SUMMARY TABLE'!$E$69:$F$117,2,FALSE)," ")</f>
        <v xml:space="preserve"> </v>
      </c>
      <c r="V104" s="384"/>
      <c r="W104" s="384"/>
      <c r="X104" s="371"/>
      <c r="Y104" s="371"/>
      <c r="Z104" s="425">
        <v>0</v>
      </c>
      <c r="AA104" s="425"/>
      <c r="AB104" s="425"/>
      <c r="AC104" s="425"/>
      <c r="AD104" s="425"/>
      <c r="AE104" s="425"/>
      <c r="AF104" s="425"/>
      <c r="AG104" s="371"/>
      <c r="AH104" s="426">
        <v>0</v>
      </c>
      <c r="AI104" s="426"/>
      <c r="AJ104" s="426"/>
      <c r="AK104" s="426"/>
      <c r="AL104" s="426"/>
      <c r="AM104" s="426"/>
      <c r="AN104" s="426"/>
      <c r="AO104" s="397"/>
      <c r="AP104" s="397"/>
      <c r="AQ104" s="397"/>
      <c r="AR104" s="397"/>
      <c r="AS104" s="397"/>
      <c r="AT104" s="397"/>
      <c r="AU104" s="397"/>
      <c r="AV104" s="371"/>
      <c r="AW104" s="371"/>
      <c r="AX104" s="371"/>
      <c r="AY104" s="371"/>
      <c r="AZ104" s="385" t="str">
        <f>IFERROR(VLOOKUP(CONCATENATE(IF(Start!$D$28&gt;1000,CONCATENATE(Start!$D$20," Mountain"),Start!$D$20), Start!$D$24,'ESVD - Land Use &amp; Climate Match'!$A$32)&amp;"3",'ESVD - SUMMARY TABLE'!$E$223:$F$279,2,FALSE)," ")</f>
        <v xml:space="preserve"> </v>
      </c>
      <c r="BA104" s="371"/>
      <c r="BB104" s="371"/>
      <c r="BC104" s="371"/>
      <c r="BD104" s="388">
        <v>0</v>
      </c>
      <c r="BE104" s="371"/>
      <c r="BF104" s="389">
        <v>0</v>
      </c>
      <c r="BG104" s="398"/>
      <c r="BH104" s="398"/>
    </row>
    <row r="105" spans="1:84" ht="16.5" customHeight="1" x14ac:dyDescent="0.3">
      <c r="B105" s="394"/>
      <c r="C105" s="186"/>
      <c r="D105" s="186"/>
      <c r="E105" s="190">
        <v>4</v>
      </c>
      <c r="F105" s="191"/>
      <c r="G105" s="385" t="str">
        <f>IFERROR(VLOOKUP(CONCATENATE(IF(Start!$D$28&gt;1000,CONCATENATE(Start!$D$20," Mountain"),Start!$D$20), Start!$D$24,'ESVD - Land Use &amp; Climate Match'!$A$1)&amp;"4",'ESVD - SUMMARY TABLE'!$E$2:$F$47,2,FALSE)," ")</f>
        <v xml:space="preserve"> </v>
      </c>
      <c r="H105" s="371"/>
      <c r="I105" s="371"/>
      <c r="J105" s="425">
        <v>0</v>
      </c>
      <c r="K105" s="425"/>
      <c r="L105" s="425"/>
      <c r="M105" s="425"/>
      <c r="N105" s="386"/>
      <c r="O105" s="426">
        <v>0</v>
      </c>
      <c r="P105" s="426"/>
      <c r="Q105" s="397"/>
      <c r="R105" s="387"/>
      <c r="S105" s="384"/>
      <c r="T105" s="384"/>
      <c r="U105" s="385" t="str">
        <f>IFERROR(VLOOKUP(CONCATENATE(IF(Start!$D$28&gt;1000,CONCATENATE(Start!$D$20," Mountain"),Start!$D$20), Start!$D$24,'ESVD - Land Use &amp; Climate Match'!$A$11)&amp;"4",'ESVD - SUMMARY TABLE'!$E$69:$F$117,2,FALSE)," ")</f>
        <v xml:space="preserve"> </v>
      </c>
      <c r="V105" s="384"/>
      <c r="W105" s="384"/>
      <c r="X105" s="371"/>
      <c r="Y105" s="371"/>
      <c r="Z105" s="425">
        <v>0</v>
      </c>
      <c r="AA105" s="425"/>
      <c r="AB105" s="425"/>
      <c r="AC105" s="425"/>
      <c r="AD105" s="425"/>
      <c r="AE105" s="425"/>
      <c r="AF105" s="425"/>
      <c r="AG105" s="371"/>
      <c r="AH105" s="426">
        <v>0</v>
      </c>
      <c r="AI105" s="426"/>
      <c r="AJ105" s="426"/>
      <c r="AK105" s="426"/>
      <c r="AL105" s="426"/>
      <c r="AM105" s="426"/>
      <c r="AN105" s="426"/>
      <c r="AO105" s="397"/>
      <c r="AP105" s="397"/>
      <c r="AQ105" s="397"/>
      <c r="AR105" s="397"/>
      <c r="AS105" s="397"/>
      <c r="AT105" s="397"/>
      <c r="AU105" s="397"/>
      <c r="AV105" s="371"/>
      <c r="AW105" s="371"/>
      <c r="AX105" s="371"/>
      <c r="AY105" s="371"/>
      <c r="AZ105" s="385" t="str">
        <f>IFERROR(VLOOKUP(CONCATENATE(IF(Start!$D$28&gt;1000,CONCATENATE(Start!$D$20," Mountain"),Start!$D$20), Start!$D$24,'ESVD - Land Use &amp; Climate Match'!$A$32)&amp;"4",'ESVD - SUMMARY TABLE'!$E$223:$F$279,2,FALSE)," ")</f>
        <v xml:space="preserve"> </v>
      </c>
      <c r="BA105" s="371"/>
      <c r="BB105" s="371"/>
      <c r="BC105" s="371"/>
      <c r="BD105" s="388">
        <v>0</v>
      </c>
      <c r="BE105" s="371"/>
      <c r="BF105" s="389">
        <v>0</v>
      </c>
      <c r="BG105" s="398"/>
      <c r="BH105" s="398"/>
    </row>
    <row r="106" spans="1:84" ht="16.5" customHeight="1" x14ac:dyDescent="0.3">
      <c r="B106" s="394"/>
      <c r="C106" s="186"/>
      <c r="D106" s="186"/>
      <c r="E106" s="190">
        <v>5</v>
      </c>
      <c r="F106" s="191"/>
      <c r="G106" s="384"/>
      <c r="H106" s="371"/>
      <c r="I106" s="371"/>
      <c r="J106" s="371"/>
      <c r="K106" s="371"/>
      <c r="L106" s="371"/>
      <c r="M106" s="371"/>
      <c r="N106" s="371"/>
      <c r="O106" s="371"/>
      <c r="P106" s="371"/>
      <c r="Q106" s="390"/>
      <c r="R106" s="384"/>
      <c r="S106" s="384"/>
      <c r="T106" s="384"/>
      <c r="U106" s="384"/>
      <c r="V106" s="384"/>
      <c r="W106" s="384"/>
      <c r="X106" s="384"/>
      <c r="Y106" s="384"/>
      <c r="Z106" s="371"/>
      <c r="AA106" s="371"/>
      <c r="AB106" s="371"/>
      <c r="AC106" s="371"/>
      <c r="AD106" s="371"/>
      <c r="AE106" s="371"/>
      <c r="AF106" s="371"/>
      <c r="AG106" s="371"/>
      <c r="AH106" s="371"/>
      <c r="AI106" s="371"/>
      <c r="AJ106" s="371"/>
      <c r="AK106" s="371"/>
      <c r="AL106" s="371"/>
      <c r="AM106" s="371"/>
      <c r="AN106" s="371"/>
      <c r="AO106" s="371"/>
      <c r="AP106" s="371"/>
      <c r="AQ106" s="371"/>
      <c r="AR106" s="371"/>
      <c r="AS106" s="371"/>
      <c r="AT106" s="371"/>
      <c r="AU106" s="371"/>
      <c r="AV106" s="371"/>
      <c r="AW106" s="371"/>
      <c r="AX106" s="371"/>
      <c r="AY106" s="371"/>
      <c r="AZ106" s="385" t="str">
        <f>IFERROR(VLOOKUP(CONCATENATE(IF(Start!$D$28&gt;1000,CONCATENATE(Start!$D$20," Mountain"),Start!$D$20), Start!$D$24,'ESVD - Land Use &amp; Climate Match'!$A$32)&amp;"5",'ESVD - SUMMARY TABLE'!$E$223:$F$279,2,FALSE)," ")</f>
        <v xml:space="preserve"> </v>
      </c>
      <c r="BA106" s="371"/>
      <c r="BB106" s="371"/>
      <c r="BC106" s="371"/>
      <c r="BD106" s="388">
        <v>0</v>
      </c>
      <c r="BE106" s="371"/>
      <c r="BF106" s="389">
        <v>0</v>
      </c>
      <c r="BG106" s="398"/>
      <c r="BH106" s="398"/>
    </row>
    <row r="107" spans="1:84" ht="16.5" customHeight="1" x14ac:dyDescent="0.3">
      <c r="B107" s="394"/>
      <c r="C107" s="186"/>
      <c r="D107" s="186"/>
      <c r="E107" s="190"/>
      <c r="F107" s="191"/>
      <c r="G107" s="192"/>
      <c r="H107" s="191"/>
      <c r="I107" s="191"/>
      <c r="J107" s="191"/>
      <c r="K107" s="191"/>
      <c r="L107" s="191"/>
      <c r="M107" s="191"/>
      <c r="N107" s="191"/>
      <c r="Q107" s="193"/>
      <c r="R107" s="192"/>
      <c r="S107" s="192"/>
      <c r="T107" s="192"/>
      <c r="U107" s="192"/>
      <c r="V107" s="192"/>
      <c r="W107" s="192"/>
      <c r="X107" s="192"/>
      <c r="Y107" s="192"/>
      <c r="Z107" s="191"/>
      <c r="AA107" s="191"/>
      <c r="AB107" s="191"/>
      <c r="AC107" s="191"/>
      <c r="AD107" s="191"/>
      <c r="AE107" s="191"/>
      <c r="AF107" s="191"/>
      <c r="AG107" s="191"/>
      <c r="AH107" s="191"/>
      <c r="AI107" s="191"/>
      <c r="AJ107" s="191"/>
      <c r="AK107" s="191"/>
      <c r="AL107" s="191"/>
      <c r="AM107" s="191"/>
      <c r="AN107" s="191"/>
      <c r="AO107" s="191"/>
      <c r="AP107" s="191"/>
      <c r="AQ107" s="191"/>
      <c r="AR107" s="191"/>
      <c r="AS107" s="191"/>
      <c r="AT107" s="191"/>
      <c r="AU107" s="191"/>
      <c r="AV107" s="191"/>
      <c r="AW107" s="191"/>
      <c r="AX107" s="191"/>
      <c r="AY107" s="191"/>
      <c r="AZ107" s="192"/>
      <c r="BA107" s="191"/>
      <c r="BB107" s="191"/>
      <c r="BC107" s="191"/>
      <c r="BD107" s="194"/>
      <c r="BE107" s="191"/>
      <c r="BF107" s="194"/>
      <c r="BG107" s="195"/>
      <c r="BH107" s="195"/>
    </row>
    <row r="108" spans="1:84" ht="16.5" customHeight="1" x14ac:dyDescent="0.3">
      <c r="C108" s="186"/>
      <c r="D108" s="186"/>
      <c r="E108" s="190"/>
      <c r="F108" s="191"/>
      <c r="G108" s="192"/>
      <c r="H108" s="191"/>
      <c r="I108" s="191"/>
      <c r="J108" s="191"/>
      <c r="K108" s="191"/>
      <c r="L108" s="191"/>
      <c r="M108" s="191"/>
      <c r="N108" s="191"/>
      <c r="Q108" s="193"/>
      <c r="R108" s="192"/>
      <c r="S108" s="192"/>
      <c r="T108" s="192"/>
      <c r="U108" s="192"/>
      <c r="V108" s="192"/>
      <c r="W108" s="192"/>
      <c r="X108" s="192"/>
      <c r="Y108" s="192"/>
      <c r="Z108" s="191"/>
      <c r="AA108" s="191"/>
      <c r="AB108" s="191"/>
      <c r="AC108" s="191"/>
      <c r="AD108" s="191"/>
      <c r="AE108" s="191"/>
      <c r="AF108" s="191"/>
      <c r="AG108" s="191"/>
      <c r="AH108" s="191"/>
      <c r="AI108" s="191"/>
      <c r="AJ108" s="191"/>
      <c r="AK108" s="191"/>
      <c r="AL108" s="191"/>
      <c r="AM108" s="191"/>
      <c r="AN108" s="191"/>
      <c r="AO108" s="191"/>
      <c r="AP108" s="191"/>
      <c r="AQ108" s="191"/>
      <c r="AR108" s="191"/>
      <c r="AS108" s="191"/>
      <c r="AT108" s="191"/>
      <c r="AU108" s="191"/>
      <c r="AV108" s="191"/>
      <c r="AW108" s="191"/>
      <c r="AX108" s="191"/>
      <c r="AY108" s="191"/>
      <c r="AZ108" s="192"/>
      <c r="BA108" s="191"/>
      <c r="BB108" s="191"/>
      <c r="BC108" s="191"/>
      <c r="BD108" s="194"/>
      <c r="BE108" s="191"/>
      <c r="BF108" s="194"/>
      <c r="BG108" s="195"/>
      <c r="BH108" s="195"/>
      <c r="BI108" s="192"/>
    </row>
    <row r="109" spans="1:84" ht="16.5" customHeight="1" x14ac:dyDescent="0.35">
      <c r="D109" s="132"/>
      <c r="E109" s="132"/>
      <c r="F109" s="132"/>
    </row>
    <row r="110" spans="1:84" s="130" customFormat="1" ht="16.5" customHeight="1" x14ac:dyDescent="0.3">
      <c r="A110" s="424" t="s">
        <v>519</v>
      </c>
      <c r="B110" s="424"/>
      <c r="C110" s="424"/>
      <c r="D110" s="424"/>
      <c r="E110" s="424"/>
      <c r="F110" s="424"/>
      <c r="G110" s="424"/>
      <c r="H110" s="424"/>
      <c r="I110" s="424"/>
      <c r="J110" s="424"/>
      <c r="K110" s="424"/>
      <c r="L110" s="424"/>
      <c r="M110" s="424"/>
      <c r="N110" s="424"/>
      <c r="O110" s="424"/>
      <c r="P110" s="424"/>
      <c r="Q110" s="424"/>
      <c r="R110" s="424"/>
      <c r="S110" s="424"/>
      <c r="T110" s="424"/>
      <c r="U110" s="424"/>
      <c r="V110" s="424"/>
      <c r="W110" s="424"/>
      <c r="X110" s="424"/>
      <c r="Y110" s="424"/>
      <c r="Z110" s="424"/>
      <c r="AA110" s="424"/>
      <c r="AB110" s="424"/>
      <c r="AC110" s="424"/>
      <c r="AD110" s="424"/>
      <c r="AE110" s="424"/>
      <c r="AF110" s="424"/>
      <c r="AG110" s="424"/>
      <c r="AH110" s="424"/>
      <c r="AI110" s="424"/>
      <c r="AJ110" s="424"/>
      <c r="AK110" s="424"/>
      <c r="AL110" s="424"/>
      <c r="AM110" s="424"/>
      <c r="AN110" s="424"/>
      <c r="AO110" s="424"/>
      <c r="AP110" s="424"/>
      <c r="AQ110" s="424"/>
      <c r="AR110" s="424"/>
      <c r="AS110" s="424"/>
      <c r="AT110" s="424"/>
      <c r="AU110" s="424"/>
      <c r="AV110" s="424"/>
      <c r="AW110" s="424"/>
      <c r="AX110" s="424"/>
      <c r="AY110" s="424"/>
      <c r="AZ110" s="424"/>
      <c r="BA110" s="424"/>
      <c r="BB110" s="424"/>
      <c r="BC110" s="424"/>
      <c r="BD110" s="424"/>
      <c r="BE110" s="424"/>
      <c r="BF110" s="424"/>
      <c r="BG110" s="424"/>
      <c r="BH110" s="424"/>
      <c r="BI110" s="424"/>
      <c r="BJ110" s="424"/>
      <c r="BK110" s="424"/>
      <c r="BL110" s="424"/>
      <c r="BM110" s="424"/>
      <c r="BN110" s="424"/>
      <c r="BO110" s="424"/>
      <c r="BP110" s="424"/>
      <c r="BQ110" s="424"/>
      <c r="BR110" s="424"/>
      <c r="BS110" s="424"/>
      <c r="BT110" s="424"/>
      <c r="BU110" s="424"/>
      <c r="CF110" s="131"/>
    </row>
    <row r="111" spans="1:84" s="130" customFormat="1" ht="16.5" customHeight="1" x14ac:dyDescent="0.3">
      <c r="A111" s="424"/>
      <c r="B111" s="424"/>
      <c r="C111" s="424"/>
      <c r="D111" s="424"/>
      <c r="E111" s="424"/>
      <c r="F111" s="424"/>
      <c r="G111" s="424"/>
      <c r="H111" s="424"/>
      <c r="I111" s="424"/>
      <c r="J111" s="424"/>
      <c r="K111" s="424"/>
      <c r="L111" s="424"/>
      <c r="M111" s="424"/>
      <c r="N111" s="424"/>
      <c r="O111" s="424"/>
      <c r="P111" s="424"/>
      <c r="Q111" s="424"/>
      <c r="R111" s="424"/>
      <c r="S111" s="424"/>
      <c r="T111" s="424"/>
      <c r="U111" s="424"/>
      <c r="V111" s="424"/>
      <c r="W111" s="424"/>
      <c r="X111" s="424"/>
      <c r="Y111" s="424"/>
      <c r="Z111" s="424"/>
      <c r="AA111" s="424"/>
      <c r="AB111" s="424"/>
      <c r="AC111" s="424"/>
      <c r="AD111" s="424"/>
      <c r="AE111" s="424"/>
      <c r="AF111" s="424"/>
      <c r="AG111" s="424"/>
      <c r="AH111" s="424"/>
      <c r="AI111" s="424"/>
      <c r="AJ111" s="424"/>
      <c r="AK111" s="424"/>
      <c r="AL111" s="424"/>
      <c r="AM111" s="424"/>
      <c r="AN111" s="424"/>
      <c r="AO111" s="424"/>
      <c r="AP111" s="424"/>
      <c r="AQ111" s="424"/>
      <c r="AR111" s="424"/>
      <c r="AS111" s="424"/>
      <c r="AT111" s="424"/>
      <c r="AU111" s="424"/>
      <c r="AV111" s="424"/>
      <c r="AW111" s="424"/>
      <c r="AX111" s="424"/>
      <c r="AY111" s="424"/>
      <c r="AZ111" s="424"/>
      <c r="BA111" s="424"/>
      <c r="BB111" s="424"/>
      <c r="BC111" s="424"/>
      <c r="BD111" s="424"/>
      <c r="BE111" s="424"/>
      <c r="BF111" s="424"/>
      <c r="BG111" s="424"/>
      <c r="BH111" s="424"/>
      <c r="BI111" s="424"/>
      <c r="BJ111" s="424"/>
      <c r="BK111" s="424"/>
      <c r="BL111" s="424"/>
      <c r="BM111" s="424"/>
      <c r="BN111" s="424"/>
      <c r="BO111" s="424"/>
      <c r="BP111" s="424"/>
      <c r="BQ111" s="424"/>
      <c r="BR111" s="424"/>
      <c r="BS111" s="424"/>
      <c r="BT111" s="424"/>
      <c r="BU111" s="424"/>
      <c r="CF111" s="131"/>
    </row>
    <row r="112" spans="1:84" ht="16.5" customHeight="1" x14ac:dyDescent="0.35">
      <c r="B112" s="196"/>
      <c r="C112" s="196"/>
      <c r="D112" s="197"/>
      <c r="E112" s="197"/>
      <c r="F112" s="197"/>
      <c r="G112" s="196"/>
      <c r="H112" s="196"/>
      <c r="I112" s="196"/>
      <c r="J112" s="196"/>
      <c r="K112" s="196"/>
      <c r="L112" s="196"/>
      <c r="M112" s="196"/>
      <c r="N112" s="196"/>
      <c r="O112" s="196"/>
      <c r="P112" s="196"/>
      <c r="Q112" s="196"/>
      <c r="R112" s="196"/>
      <c r="S112" s="196"/>
      <c r="T112" s="196"/>
      <c r="U112" s="196"/>
    </row>
    <row r="113" spans="2:84" ht="16.5" customHeight="1" x14ac:dyDescent="0.35">
      <c r="B113" s="196"/>
      <c r="C113" s="196"/>
      <c r="D113" s="197"/>
      <c r="E113" s="197"/>
      <c r="F113" s="197"/>
      <c r="G113" s="196"/>
      <c r="H113" s="196"/>
      <c r="I113" s="196"/>
      <c r="J113" s="196"/>
      <c r="K113" s="196"/>
      <c r="L113" s="196"/>
      <c r="M113" s="196"/>
      <c r="N113" s="196"/>
      <c r="O113" s="196"/>
      <c r="P113" s="196"/>
      <c r="Q113" s="196"/>
      <c r="R113" s="196"/>
      <c r="S113" s="196"/>
      <c r="T113" s="196"/>
      <c r="U113" s="196"/>
    </row>
    <row r="114" spans="2:84" ht="36.75" customHeight="1" x14ac:dyDescent="0.35">
      <c r="B114" s="196"/>
      <c r="C114" s="139"/>
      <c r="D114" s="198"/>
      <c r="E114" s="199"/>
      <c r="F114" s="200"/>
      <c r="G114" s="200"/>
      <c r="H114" s="200"/>
      <c r="I114" s="201"/>
      <c r="M114" s="202"/>
      <c r="N114" s="203"/>
      <c r="O114" s="202"/>
      <c r="P114" s="204"/>
      <c r="Q114" s="205"/>
      <c r="R114" s="196"/>
      <c r="S114" s="196"/>
      <c r="T114" s="196"/>
      <c r="U114" s="196"/>
    </row>
    <row r="115" spans="2:84" ht="16.5" customHeight="1" x14ac:dyDescent="0.35">
      <c r="B115" s="196"/>
      <c r="C115" s="132"/>
      <c r="D115" s="132"/>
      <c r="E115" s="132"/>
      <c r="M115" s="202"/>
      <c r="N115" s="203"/>
      <c r="O115" s="202"/>
      <c r="P115" s="204"/>
      <c r="Q115" s="206"/>
      <c r="R115" s="196"/>
      <c r="S115" s="196"/>
      <c r="T115" s="196"/>
      <c r="U115" s="196"/>
    </row>
    <row r="116" spans="2:84" ht="16.5" customHeight="1" thickBot="1" x14ac:dyDescent="0.4">
      <c r="B116" s="196"/>
      <c r="C116" s="132"/>
      <c r="D116" s="207" t="s">
        <v>459</v>
      </c>
      <c r="E116" s="208"/>
      <c r="F116" s="209"/>
      <c r="G116" s="209"/>
      <c r="H116" s="209"/>
      <c r="I116" s="209"/>
      <c r="J116" s="210"/>
      <c r="K116" s="138"/>
      <c r="L116" s="138"/>
      <c r="M116" s="211" t="s">
        <v>465</v>
      </c>
      <c r="N116" s="212"/>
      <c r="O116" s="213"/>
      <c r="P116" s="213"/>
      <c r="Q116" s="214"/>
      <c r="R116" s="215"/>
      <c r="S116" s="215"/>
      <c r="T116" s="215"/>
      <c r="U116" s="215"/>
    </row>
    <row r="117" spans="2:84" ht="16.5" customHeight="1" x14ac:dyDescent="0.35">
      <c r="B117" s="196"/>
      <c r="C117" s="132"/>
      <c r="D117" s="216"/>
      <c r="E117" s="217"/>
      <c r="F117" s="138"/>
      <c r="G117" s="138"/>
      <c r="H117" s="138"/>
      <c r="I117" s="138"/>
      <c r="J117" s="138"/>
      <c r="K117" s="138"/>
      <c r="L117" s="138"/>
      <c r="M117" s="218"/>
      <c r="N117" s="219"/>
      <c r="O117" s="218"/>
      <c r="P117" s="218"/>
      <c r="Q117" s="206"/>
      <c r="BR117" s="138"/>
      <c r="CF117" s="135"/>
    </row>
    <row r="118" spans="2:84" ht="37.5" customHeight="1" x14ac:dyDescent="0.3">
      <c r="B118" s="196"/>
      <c r="C118" s="220">
        <v>1</v>
      </c>
      <c r="D118" s="431" t="s">
        <v>728</v>
      </c>
      <c r="E118" s="432"/>
      <c r="F118" s="432"/>
      <c r="G118" s="432"/>
      <c r="H118" s="221"/>
      <c r="I118" s="403" t="s">
        <v>10</v>
      </c>
      <c r="J118" s="403"/>
      <c r="K118" s="222"/>
      <c r="L118" s="222"/>
      <c r="M118" s="404" t="s">
        <v>460</v>
      </c>
      <c r="N118" s="404"/>
      <c r="O118" s="404"/>
      <c r="P118" s="404"/>
      <c r="Q118" s="404"/>
      <c r="S118" s="405" t="s">
        <v>10</v>
      </c>
      <c r="T118" s="405"/>
      <c r="U118" s="405"/>
      <c r="BR118" s="138"/>
      <c r="CF118" s="135"/>
    </row>
    <row r="119" spans="2:84" ht="37.5" customHeight="1" x14ac:dyDescent="0.3">
      <c r="B119" s="196"/>
      <c r="C119" s="220">
        <v>2</v>
      </c>
      <c r="D119" s="431" t="s">
        <v>729</v>
      </c>
      <c r="E119" s="432"/>
      <c r="F119" s="432"/>
      <c r="G119" s="432"/>
      <c r="H119" s="221"/>
      <c r="I119" s="403" t="s">
        <v>10</v>
      </c>
      <c r="J119" s="403"/>
      <c r="K119" s="222"/>
      <c r="L119" s="222"/>
      <c r="M119" s="404" t="s">
        <v>461</v>
      </c>
      <c r="N119" s="404"/>
      <c r="O119" s="404"/>
      <c r="P119" s="404"/>
      <c r="Q119" s="404"/>
      <c r="S119" s="405" t="s">
        <v>10</v>
      </c>
      <c r="T119" s="405"/>
      <c r="U119" s="405"/>
      <c r="BR119" s="138"/>
      <c r="CF119" s="135"/>
    </row>
    <row r="120" spans="2:84" ht="45" customHeight="1" x14ac:dyDescent="0.3">
      <c r="B120" s="196"/>
      <c r="C120" s="399">
        <v>3</v>
      </c>
      <c r="D120" s="433" t="s">
        <v>730</v>
      </c>
      <c r="E120" s="402"/>
      <c r="F120" s="402"/>
      <c r="G120" s="402"/>
      <c r="H120" s="221"/>
      <c r="I120" s="403">
        <v>0</v>
      </c>
      <c r="J120" s="422" t="s">
        <v>170</v>
      </c>
      <c r="K120" s="222"/>
      <c r="L120" s="222"/>
      <c r="M120" s="404" t="s">
        <v>462</v>
      </c>
      <c r="N120" s="404"/>
      <c r="O120" s="404"/>
      <c r="P120" s="404"/>
      <c r="Q120" s="404"/>
      <c r="S120" s="405" t="s">
        <v>10</v>
      </c>
      <c r="T120" s="405"/>
      <c r="U120" s="405"/>
      <c r="BR120" s="138"/>
      <c r="CF120" s="135"/>
    </row>
    <row r="121" spans="2:84" ht="45" customHeight="1" x14ac:dyDescent="0.3">
      <c r="B121" s="196"/>
      <c r="C121" s="399"/>
      <c r="D121" s="433"/>
      <c r="E121" s="402"/>
      <c r="F121" s="402"/>
      <c r="G121" s="402"/>
      <c r="H121" s="223"/>
      <c r="I121" s="403"/>
      <c r="J121" s="422"/>
      <c r="K121" s="222"/>
      <c r="L121" s="222"/>
      <c r="M121" s="404" t="s">
        <v>731</v>
      </c>
      <c r="N121" s="404"/>
      <c r="O121" s="404"/>
      <c r="P121" s="404"/>
      <c r="Q121" s="404"/>
      <c r="S121" s="405" t="s">
        <v>10</v>
      </c>
      <c r="T121" s="405"/>
      <c r="U121" s="405"/>
      <c r="BR121" s="138"/>
      <c r="CF121" s="135"/>
    </row>
    <row r="122" spans="2:84" ht="86.25" customHeight="1" x14ac:dyDescent="0.3">
      <c r="B122" s="196"/>
      <c r="C122" s="224">
        <v>4</v>
      </c>
      <c r="D122" s="401" t="s">
        <v>732</v>
      </c>
      <c r="E122" s="402"/>
      <c r="F122" s="402"/>
      <c r="G122" s="402"/>
      <c r="H122" s="221"/>
      <c r="I122" s="403" t="s">
        <v>10</v>
      </c>
      <c r="J122" s="403"/>
      <c r="K122" s="222"/>
      <c r="L122" s="222"/>
      <c r="M122" s="404" t="s">
        <v>733</v>
      </c>
      <c r="N122" s="404"/>
      <c r="O122" s="404"/>
      <c r="P122" s="404"/>
      <c r="Q122" s="404"/>
      <c r="S122" s="405" t="s">
        <v>10</v>
      </c>
      <c r="T122" s="405"/>
      <c r="U122" s="405"/>
      <c r="BR122" s="138"/>
      <c r="CF122" s="135"/>
    </row>
    <row r="123" spans="2:84" ht="16.5" customHeight="1" x14ac:dyDescent="0.35">
      <c r="B123" s="196"/>
      <c r="C123" s="132"/>
      <c r="D123" s="429"/>
      <c r="E123" s="429"/>
      <c r="F123" s="429"/>
      <c r="G123" s="429"/>
      <c r="H123" s="429"/>
      <c r="I123" s="429"/>
      <c r="J123" s="222"/>
      <c r="K123" s="222"/>
      <c r="L123" s="222"/>
      <c r="M123" s="218"/>
      <c r="N123" s="218"/>
      <c r="O123" s="218"/>
      <c r="P123" s="218"/>
      <c r="Q123" s="225">
        <f>SUM(O118:O122)*4/2</f>
        <v>0</v>
      </c>
      <c r="X123" s="442" t="s">
        <v>734</v>
      </c>
      <c r="Y123" s="442"/>
      <c r="Z123" s="442"/>
      <c r="AA123" s="442"/>
      <c r="AB123" s="442"/>
      <c r="AC123" s="442"/>
      <c r="AD123" s="442"/>
      <c r="AE123" s="442"/>
      <c r="AF123" s="442"/>
      <c r="AG123" s="442"/>
      <c r="AH123" s="442"/>
      <c r="AI123" s="442"/>
      <c r="AJ123" s="442"/>
      <c r="AK123" s="442"/>
      <c r="AL123" s="442"/>
      <c r="AM123" s="442"/>
      <c r="AN123" s="442"/>
      <c r="AO123" s="442"/>
      <c r="AP123" s="442"/>
      <c r="AQ123" s="442"/>
      <c r="AR123" s="442"/>
      <c r="AS123" s="442"/>
      <c r="AT123" s="442"/>
      <c r="AU123" s="442"/>
      <c r="AV123" s="442"/>
      <c r="AW123" s="442"/>
      <c r="AX123" s="442"/>
      <c r="AY123" s="442"/>
      <c r="AZ123" s="442"/>
      <c r="BA123" s="442"/>
      <c r="BR123" s="138"/>
      <c r="CF123" s="135"/>
    </row>
    <row r="124" spans="2:84" ht="16.5" customHeight="1" x14ac:dyDescent="0.35">
      <c r="B124" s="196"/>
      <c r="C124" s="132"/>
      <c r="D124" s="430"/>
      <c r="E124" s="430"/>
      <c r="F124" s="430"/>
      <c r="G124" s="430"/>
      <c r="H124" s="430"/>
      <c r="I124" s="430"/>
      <c r="J124" s="226"/>
      <c r="K124" s="226"/>
      <c r="L124" s="226"/>
      <c r="M124" s="132"/>
      <c r="N124" s="132"/>
      <c r="O124" s="227"/>
      <c r="P124" s="228"/>
      <c r="Q124" s="407"/>
      <c r="S124" s="406" t="s">
        <v>464</v>
      </c>
      <c r="T124" s="406"/>
      <c r="U124" s="406"/>
      <c r="X124" s="442"/>
      <c r="Y124" s="442"/>
      <c r="Z124" s="442"/>
      <c r="AA124" s="442"/>
      <c r="AB124" s="442"/>
      <c r="AC124" s="442"/>
      <c r="AD124" s="442"/>
      <c r="AE124" s="442"/>
      <c r="AF124" s="442"/>
      <c r="AG124" s="442"/>
      <c r="AH124" s="442"/>
      <c r="AI124" s="442"/>
      <c r="AJ124" s="442"/>
      <c r="AK124" s="442"/>
      <c r="AL124" s="442"/>
      <c r="AM124" s="442"/>
      <c r="AN124" s="442"/>
      <c r="AO124" s="442"/>
      <c r="AP124" s="442"/>
      <c r="AQ124" s="442"/>
      <c r="AR124" s="442"/>
      <c r="AS124" s="442"/>
      <c r="AT124" s="442"/>
      <c r="AU124" s="442"/>
      <c r="AV124" s="442"/>
      <c r="AW124" s="442"/>
      <c r="AX124" s="442"/>
      <c r="AY124" s="442"/>
      <c r="AZ124" s="442"/>
      <c r="BA124" s="442"/>
      <c r="BR124" s="138"/>
      <c r="CF124" s="135"/>
    </row>
    <row r="125" spans="2:84" ht="16.5" customHeight="1" thickBot="1" x14ac:dyDescent="0.4">
      <c r="B125" s="196"/>
      <c r="C125" s="132"/>
      <c r="D125" s="207" t="s">
        <v>466</v>
      </c>
      <c r="E125" s="208"/>
      <c r="F125" s="209"/>
      <c r="G125" s="209"/>
      <c r="H125" s="209"/>
      <c r="I125" s="209"/>
      <c r="J125" s="209"/>
      <c r="K125" s="210"/>
      <c r="L125" s="210"/>
      <c r="M125" s="213"/>
      <c r="N125" s="213"/>
      <c r="O125" s="213"/>
      <c r="P125" s="213"/>
      <c r="Q125" s="408"/>
      <c r="S125" s="406"/>
      <c r="T125" s="406"/>
      <c r="U125" s="406"/>
      <c r="W125" s="441" t="s">
        <v>468</v>
      </c>
      <c r="X125" s="439">
        <v>1</v>
      </c>
      <c r="Y125" s="439">
        <v>2</v>
      </c>
      <c r="Z125" s="439">
        <v>3</v>
      </c>
      <c r="AA125" s="439">
        <v>4</v>
      </c>
      <c r="AB125" s="439">
        <v>5</v>
      </c>
      <c r="AC125" s="439">
        <v>6</v>
      </c>
      <c r="AD125" s="439">
        <v>7</v>
      </c>
      <c r="AE125" s="439">
        <v>8</v>
      </c>
      <c r="AF125" s="439">
        <v>9</v>
      </c>
      <c r="AG125" s="439">
        <v>10</v>
      </c>
      <c r="AH125" s="439">
        <v>11</v>
      </c>
      <c r="AI125" s="439">
        <v>12</v>
      </c>
      <c r="AJ125" s="439">
        <v>13</v>
      </c>
      <c r="AK125" s="439">
        <v>14</v>
      </c>
      <c r="AL125" s="439">
        <v>15</v>
      </c>
      <c r="AM125" s="439">
        <v>16</v>
      </c>
      <c r="AN125" s="439">
        <v>17</v>
      </c>
      <c r="AO125" s="439">
        <v>18</v>
      </c>
      <c r="AP125" s="439">
        <v>19</v>
      </c>
      <c r="AQ125" s="439">
        <v>20</v>
      </c>
      <c r="AR125" s="439">
        <v>21</v>
      </c>
      <c r="AS125" s="439">
        <v>22</v>
      </c>
      <c r="AT125" s="439">
        <v>23</v>
      </c>
      <c r="AU125" s="439">
        <v>24</v>
      </c>
      <c r="AV125" s="439">
        <v>25</v>
      </c>
      <c r="AW125" s="439">
        <v>26</v>
      </c>
      <c r="AX125" s="439">
        <v>27</v>
      </c>
      <c r="AY125" s="439">
        <v>28</v>
      </c>
      <c r="AZ125" s="439">
        <v>29</v>
      </c>
      <c r="BA125" s="439">
        <v>30</v>
      </c>
      <c r="BR125" s="138"/>
      <c r="CF125" s="135"/>
    </row>
    <row r="126" spans="2:84" ht="16.5" customHeight="1" thickBot="1" x14ac:dyDescent="0.4">
      <c r="B126" s="196"/>
      <c r="C126" s="132"/>
      <c r="D126" s="216"/>
      <c r="E126" s="217"/>
      <c r="F126" s="138"/>
      <c r="G126" s="138"/>
      <c r="H126" s="138"/>
      <c r="I126" s="138"/>
      <c r="J126" s="138"/>
      <c r="K126" s="138"/>
      <c r="L126" s="138"/>
      <c r="M126" s="218"/>
      <c r="N126" s="218"/>
      <c r="O126" s="218"/>
      <c r="P126" s="218"/>
      <c r="Q126" s="227"/>
      <c r="W126" s="441"/>
      <c r="X126" s="440"/>
      <c r="Y126" s="440"/>
      <c r="Z126" s="440"/>
      <c r="AA126" s="440"/>
      <c r="AB126" s="440"/>
      <c r="AC126" s="440"/>
      <c r="AD126" s="440"/>
      <c r="AE126" s="440"/>
      <c r="AF126" s="440"/>
      <c r="AG126" s="440"/>
      <c r="AH126" s="440"/>
      <c r="AI126" s="440"/>
      <c r="AJ126" s="440"/>
      <c r="AK126" s="440"/>
      <c r="AL126" s="440"/>
      <c r="AM126" s="440"/>
      <c r="AN126" s="440"/>
      <c r="AO126" s="440"/>
      <c r="AP126" s="440"/>
      <c r="AQ126" s="440"/>
      <c r="AR126" s="440"/>
      <c r="AS126" s="440"/>
      <c r="AT126" s="440"/>
      <c r="AU126" s="440"/>
      <c r="AV126" s="440"/>
      <c r="AW126" s="440"/>
      <c r="AX126" s="440"/>
      <c r="AY126" s="440"/>
      <c r="AZ126" s="440"/>
      <c r="BA126" s="440"/>
      <c r="BR126" s="138"/>
      <c r="CF126" s="135"/>
    </row>
    <row r="127" spans="2:84" ht="37.5" customHeight="1" x14ac:dyDescent="0.3">
      <c r="B127" s="196"/>
      <c r="C127" s="220">
        <v>5</v>
      </c>
      <c r="D127" s="431" t="s">
        <v>735</v>
      </c>
      <c r="E127" s="432"/>
      <c r="F127" s="432"/>
      <c r="G127" s="432"/>
      <c r="H127" s="432"/>
      <c r="I127" s="432"/>
      <c r="J127" s="432"/>
      <c r="K127" s="432"/>
      <c r="L127" s="432"/>
      <c r="M127" s="432"/>
      <c r="N127" s="432"/>
      <c r="O127" s="432"/>
      <c r="P127" s="229"/>
      <c r="Q127" s="230" t="s">
        <v>10</v>
      </c>
      <c r="S127" s="400" t="s">
        <v>463</v>
      </c>
      <c r="T127" s="400"/>
      <c r="U127" s="400"/>
      <c r="W127" s="138"/>
      <c r="X127" s="231" t="str">
        <f>IF(O18=Data!E21," ","?")</f>
        <v>?</v>
      </c>
      <c r="Y127" s="231" t="str">
        <f>IF(O19=Data!E21," ","?")</f>
        <v>?</v>
      </c>
      <c r="Z127" s="231" t="str">
        <f>IF(O20=Data!E21," ","?")</f>
        <v>?</v>
      </c>
      <c r="AA127" s="231" t="str">
        <f>IF(O21=Data!E21," ","?")</f>
        <v>?</v>
      </c>
      <c r="AB127" s="231" t="str">
        <f>IF(O22=Data!E21," ","?")</f>
        <v>?</v>
      </c>
      <c r="AC127" s="231" t="str">
        <f>IF(O23=Data!E21," ","?")</f>
        <v>?</v>
      </c>
      <c r="AD127" s="231" t="str">
        <f>IF(O24=Data!E21," ","?")</f>
        <v>?</v>
      </c>
      <c r="AE127" s="231" t="str">
        <f>IF(O25=Data!E21," ","?")</f>
        <v>?</v>
      </c>
      <c r="AF127" s="231" t="str">
        <f>IF(O26=Data!E21," ","?")</f>
        <v>?</v>
      </c>
      <c r="AG127" s="231" t="str">
        <f>IF(O27=Data!E21," ","?")</f>
        <v>?</v>
      </c>
      <c r="AH127" s="231" t="str">
        <f>IF(O28=Data!E21," ","?")</f>
        <v>?</v>
      </c>
      <c r="AI127" s="231" t="str">
        <f>IF(O29=Data!E21," ","?")</f>
        <v>?</v>
      </c>
      <c r="AJ127" s="231" t="str">
        <f>IF(O30=Data!E21," ","?")</f>
        <v>?</v>
      </c>
      <c r="AK127" s="231" t="str">
        <f>IF(O31=Data!E21," ","?")</f>
        <v>?</v>
      </c>
      <c r="AL127" s="231" t="str">
        <f>IF(O32=Data!E21," ","?")</f>
        <v>?</v>
      </c>
      <c r="AM127" s="231" t="str">
        <f>IF(O33=Data!E21," ","?")</f>
        <v>?</v>
      </c>
      <c r="AN127" s="231" t="str">
        <f>IF(O34=Data!E21," ","?")</f>
        <v>?</v>
      </c>
      <c r="AO127" s="231" t="str">
        <f>IF(O35=Data!E21," ","?")</f>
        <v>?</v>
      </c>
      <c r="AP127" s="231" t="str">
        <f>IF(O36=Data!E21," ","?")</f>
        <v>?</v>
      </c>
      <c r="AQ127" s="231" t="str">
        <f>IF(O37=Data!E21," ","?")</f>
        <v>?</v>
      </c>
      <c r="AR127" s="231" t="str">
        <f>IF(O38=Data!E21," ","?")</f>
        <v>?</v>
      </c>
      <c r="AS127" s="231" t="str">
        <f>IF(O39=Data!E21," ","?")</f>
        <v>?</v>
      </c>
      <c r="AT127" s="231" t="str">
        <f>IF(O40=Data!E21," ","?")</f>
        <v>?</v>
      </c>
      <c r="AU127" s="231" t="str">
        <f>IF(O41=Data!E21," ","?")</f>
        <v>?</v>
      </c>
      <c r="AV127" s="231" t="str">
        <f>IF(O42=Data!E21," ","?")</f>
        <v>?</v>
      </c>
      <c r="AW127" s="231" t="str">
        <f>IF(O43=Data!E21," ","?")</f>
        <v>?</v>
      </c>
      <c r="AX127" s="231" t="str">
        <f>IF(O44=Data!E21," ","?")</f>
        <v>?</v>
      </c>
      <c r="AY127" s="231" t="str">
        <f>IF(O45=Data!E21," ","?")</f>
        <v>?</v>
      </c>
      <c r="AZ127" s="231" t="str">
        <f>IF(O46=Data!E21," ","?")</f>
        <v>?</v>
      </c>
      <c r="BA127" s="231" t="str">
        <f>IF(O47=Data!E21," ","?")</f>
        <v>?</v>
      </c>
      <c r="BR127" s="138"/>
      <c r="CF127" s="135"/>
    </row>
    <row r="128" spans="2:84" ht="37.5" customHeight="1" x14ac:dyDescent="0.3">
      <c r="B128" s="196"/>
      <c r="C128" s="220">
        <v>6</v>
      </c>
      <c r="D128" s="433" t="s">
        <v>736</v>
      </c>
      <c r="E128" s="402"/>
      <c r="F128" s="402"/>
      <c r="G128" s="402"/>
      <c r="H128" s="402"/>
      <c r="I128" s="402"/>
      <c r="J128" s="402"/>
      <c r="K128" s="402"/>
      <c r="L128" s="402"/>
      <c r="M128" s="402"/>
      <c r="N128" s="402"/>
      <c r="O128" s="402"/>
      <c r="P128" s="229"/>
      <c r="Q128" s="230" t="s">
        <v>10</v>
      </c>
      <c r="S128" s="400" t="s">
        <v>463</v>
      </c>
      <c r="T128" s="400"/>
      <c r="U128" s="400"/>
      <c r="X128" s="231" t="s">
        <v>9</v>
      </c>
      <c r="Y128" s="231" t="s">
        <v>9</v>
      </c>
      <c r="Z128" s="231" t="s">
        <v>9</v>
      </c>
      <c r="AA128" s="231" t="s">
        <v>9</v>
      </c>
      <c r="AB128" s="231" t="s">
        <v>9</v>
      </c>
      <c r="AC128" s="231" t="s">
        <v>9</v>
      </c>
      <c r="AD128" s="231" t="s">
        <v>9</v>
      </c>
      <c r="AE128" s="231" t="s">
        <v>9</v>
      </c>
      <c r="AF128" s="231" t="s">
        <v>9</v>
      </c>
      <c r="AG128" s="231" t="s">
        <v>9</v>
      </c>
      <c r="AH128" s="231" t="s">
        <v>9</v>
      </c>
      <c r="AI128" s="231" t="s">
        <v>9</v>
      </c>
      <c r="AJ128" s="231" t="s">
        <v>9</v>
      </c>
      <c r="AK128" s="231" t="s">
        <v>9</v>
      </c>
      <c r="AL128" s="231" t="s">
        <v>9</v>
      </c>
      <c r="AM128" s="231" t="s">
        <v>9</v>
      </c>
      <c r="AN128" s="231" t="s">
        <v>9</v>
      </c>
      <c r="AO128" s="231" t="s">
        <v>9</v>
      </c>
      <c r="AP128" s="231" t="s">
        <v>9</v>
      </c>
      <c r="AQ128" s="231" t="s">
        <v>9</v>
      </c>
      <c r="AR128" s="231" t="s">
        <v>9</v>
      </c>
      <c r="AS128" s="231" t="s">
        <v>9</v>
      </c>
      <c r="AT128" s="231" t="s">
        <v>9</v>
      </c>
      <c r="AU128" s="231" t="s">
        <v>9</v>
      </c>
      <c r="AV128" s="231" t="s">
        <v>9</v>
      </c>
      <c r="AW128" s="231" t="s">
        <v>9</v>
      </c>
      <c r="AX128" s="231" t="s">
        <v>9</v>
      </c>
      <c r="AY128" s="231" t="s">
        <v>9</v>
      </c>
      <c r="AZ128" s="231" t="s">
        <v>9</v>
      </c>
      <c r="BA128" s="231" t="s">
        <v>9</v>
      </c>
      <c r="BR128" s="138"/>
      <c r="CF128" s="135"/>
    </row>
    <row r="129" spans="1:84" ht="37.5" customHeight="1" x14ac:dyDescent="0.3">
      <c r="B129" s="196"/>
      <c r="C129" s="220">
        <v>7</v>
      </c>
      <c r="D129" s="433" t="s">
        <v>737</v>
      </c>
      <c r="E129" s="402"/>
      <c r="F129" s="402"/>
      <c r="G129" s="402"/>
      <c r="H129" s="402"/>
      <c r="I129" s="402"/>
      <c r="J129" s="402"/>
      <c r="K129" s="402"/>
      <c r="L129" s="402"/>
      <c r="M129" s="402"/>
      <c r="N129" s="402"/>
      <c r="O129" s="402"/>
      <c r="P129" s="229"/>
      <c r="Q129" s="230" t="s">
        <v>10</v>
      </c>
      <c r="S129" s="400" t="s">
        <v>463</v>
      </c>
      <c r="T129" s="400"/>
      <c r="U129" s="400"/>
      <c r="X129" s="231" t="str">
        <f>IF(OR(O18=Data!$E$9,O18=Data!$E$10,O18=Data!$E$11,O18=Data!$E$12,O18=Data!$E$13,O18=Data!$E$14,O18=Data!$E$15,O18=Data!$E$16,O18=Data!$E$17,O18=Data!$E$18,O18=Data!$E$19,O18=Data!$E$20,O18=Data!$E$21)," ","?")</f>
        <v>?</v>
      </c>
      <c r="Y129" s="231" t="str">
        <f>IF(OR(O19=Data!$E$9,O19=Data!$E$10,O19=Data!$E$11,O19=Data!$E$12,O19=Data!$E$13,O19=Data!$E$14,O19=Data!$E$15,O19=Data!$E$16,O19=Data!$E$17,O19=Data!$E$18,O19=Data!$E$19,O19=Data!$E$20,O19=Data!$E$21)," ","?")</f>
        <v>?</v>
      </c>
      <c r="Z129" s="231" t="str">
        <f>IF(OR(O20=Data!$E$9,O20=Data!$E$10,O20=Data!$E$11,O20=Data!$E$12,O20=Data!$E$13,O20=Data!$E$14,O20=Data!$E$15,O20=Data!$E$16,O20=Data!$E$17,O20=Data!$E$18,O20=Data!$E$19,O20=Data!$E$20,O20=Data!$E$21)," ","?")</f>
        <v>?</v>
      </c>
      <c r="AA129" s="231" t="str">
        <f>IF(OR(O21=Data!$E$9,O21=Data!$E$10,O21=Data!$E$11,O21=Data!$E$12,O21=Data!$E$13,O21=Data!$E$14,O21=Data!$E$15,O21=Data!$E$16,O21=Data!$E$17,O21=Data!$E$18,O21=Data!$E$19,O21=Data!$E$20,O21=Data!$E$21)," ","?")</f>
        <v>?</v>
      </c>
      <c r="AB129" s="231" t="str">
        <f>IF(OR(O22=Data!$E$9,O22=Data!$E$10,O22=Data!$E$11,O22=Data!$E$12,O22=Data!$E$13,O22=Data!$E$14,O22=Data!$E$15,O22=Data!$E$16,O22=Data!$E$17,O22=Data!$E$18,O22=Data!$E$19,O22=Data!$E$20,O22=Data!$E$21)," ","?")</f>
        <v>?</v>
      </c>
      <c r="AC129" s="231" t="str">
        <f>IF(OR(O23=Data!$E$9,O23=Data!$E$10,O23=Data!$E$11,O23=Data!$E$12,O23=Data!$E$13,O23=Data!$E$14,O23=Data!$E$15,O23=Data!$E$16,O23=Data!$E$17,O23=Data!$E$18,O23=Data!$E$19,O23=Data!$E$20,O23=Data!$E$21)," ","?")</f>
        <v>?</v>
      </c>
      <c r="AD129" s="231" t="str">
        <f>IF(OR(O24=Data!$E$9,O24=Data!$E$10,O24=Data!$E$11,O24=Data!$E$12,O24=Data!$E$13,O24=Data!$E$14,O24=Data!$E$15,O24=Data!$E$16,O24=Data!$E$17,O24=Data!$E$18,O24=Data!$E$19,O24=Data!$E$20,O24=Data!$E$21)," ","?")</f>
        <v>?</v>
      </c>
      <c r="AE129" s="231" t="str">
        <f>IF(OR(O25=Data!$E$9,O25=Data!$E$10,O25=Data!$E$11,O25=Data!$E$12,O25=Data!$E$13,O25=Data!$E$14,O25=Data!$E$15,O25=Data!$E$16,O25=Data!$E$17,O25=Data!$E$18,O25=Data!$E$19,O25=Data!$E$20,O25=Data!$E$21)," ","?")</f>
        <v>?</v>
      </c>
      <c r="AF129" s="231" t="str">
        <f>IF(OR(O26=Data!$E$9,O26=Data!$E$10,O26=Data!$E$11,O26=Data!$E$12,O26=Data!$E$13,O26=Data!$E$14,O26=Data!$E$15,O26=Data!$E$16,O26=Data!$E$17,O26=Data!$E$18,O26=Data!$E$19,O26=Data!$E$20,O26=Data!$E$21)," ","?")</f>
        <v>?</v>
      </c>
      <c r="AG129" s="231" t="str">
        <f>IF(OR(O27=Data!$E$9,O27=Data!$E$10,O27=Data!$E$11,O27=Data!$E$12,O27=Data!$E$13,O27=Data!$E$14,O27=Data!$E$15,O27=Data!$E$16,O27=Data!$E$17,O27=Data!$E$18,O27=Data!$E$19,O27=Data!$E$20,O27=Data!$E$21)," ","?")</f>
        <v>?</v>
      </c>
      <c r="AH129" s="231" t="str">
        <f>IF(OR(O28=Data!$E$9,O28=Data!$E$10,O28=Data!$E$11,O28=Data!$E$12,O28=Data!$E$13,O28=Data!$E$14,O28=Data!$E$15,O28=Data!$E$16,O28=Data!$E$17,O28=Data!$E$18,O28=Data!$E$19,O28=Data!$E$20,O28=Data!$E$21)," ","?")</f>
        <v>?</v>
      </c>
      <c r="AI129" s="231" t="str">
        <f>IF(OR(O29=Data!$E$9,O29=Data!$E$10,O29=Data!$E$11,O29=Data!$E$12,O29=Data!$E$13,O29=Data!$E$14,O29=Data!$E$15,O29=Data!$E$16,O29=Data!$E$17,O29=Data!$E$18,O29=Data!$E$19,O29=Data!$E$20,O29=Data!$E$21)," ","?")</f>
        <v>?</v>
      </c>
      <c r="AJ129" s="231" t="str">
        <f>IF(OR(O30=Data!$E$9,O30=Data!$E$10,O30=Data!$E$11,O30=Data!$E$12,O30=Data!$E$13,O30=Data!$E$14,O30=Data!$E$15,O30=Data!$E$16,O30=Data!$E$17,O30=Data!$E$18,O30=Data!$E$19,O30=Data!$E$20,O30=Data!$E$21)," ","?")</f>
        <v>?</v>
      </c>
      <c r="AK129" s="231" t="str">
        <f>IF(OR(O31=Data!$E$9,O31=Data!$E$10,O31=Data!$E$11,O31=Data!$E$12,O31=Data!$E$13,O31=Data!$E$14,O31=Data!$E$15,O31=Data!$E$16,O31=Data!$E$17,O31=Data!$E$18,O31=Data!$E$19,O31=Data!$E$20,O31=Data!$E$21)," ","?")</f>
        <v>?</v>
      </c>
      <c r="AL129" s="231" t="str">
        <f>IF(OR(O32=Data!$E$9,O32=Data!$E$10,O32=Data!$E$11,O32=Data!$E$12,O32=Data!$E$13,O32=Data!$E$14,O32=Data!$E$15,O32=Data!$E$16,O32=Data!$E$17,O32=Data!$E$18,O32=Data!$E$19,O32=Data!$E$20,O32=Data!$E$21)," ","?")</f>
        <v>?</v>
      </c>
      <c r="AM129" s="231" t="str">
        <f>IF(OR(O33=Data!$E$9,O33=Data!$E$10,O33=Data!$E$11,O33=Data!$E$12,O33=Data!$E$13,O33=Data!$E$14,O33=Data!$E$15,O33=Data!$E$16,O33=Data!$E$17,O33=Data!$E$18,O33=Data!$E$19,O33=Data!$E$20,O33=Data!$E$21)," ","?")</f>
        <v>?</v>
      </c>
      <c r="AN129" s="231" t="str">
        <f>IF(OR(O34=Data!$E$9,O34=Data!$E$10,O34=Data!$E$11,O34=Data!$E$12,O34=Data!$E$13,O34=Data!$E$14,O34=Data!$E$15,O34=Data!$E$16,O34=Data!$E$17,O34=Data!$E$18,O34=Data!$E$19,O34=Data!$E$20,O34=Data!$E$21)," ","?")</f>
        <v>?</v>
      </c>
      <c r="AO129" s="231" t="str">
        <f>IF(OR(O35=Data!$E$9,O35=Data!$E$10,O35=Data!$E$11,O35=Data!$E$12,O35=Data!$E$13,O35=Data!$E$14,O35=Data!$E$15,O35=Data!$E$16,O35=Data!$E$17,O35=Data!$E$18,O35=Data!$E$19,O35=Data!$E$20,O35=Data!$E$21)," ","?")</f>
        <v>?</v>
      </c>
      <c r="AP129" s="231" t="str">
        <f>IF(OR(O36=Data!$E$9,O36=Data!$E$10,O36=Data!$E$11,O36=Data!$E$12,O36=Data!$E$13,O36=Data!$E$14,O36=Data!$E$15,O36=Data!$E$16,O36=Data!$E$17,O36=Data!$E$18,O36=Data!$E$19,O36=Data!$E$20,O36=Data!$E$21)," ","?")</f>
        <v>?</v>
      </c>
      <c r="AQ129" s="231" t="str">
        <f>IF(OR(O37=Data!$E$9,O37=Data!$E$10,O37=Data!$E$11,O37=Data!$E$12,O37=Data!$E$13,O37=Data!$E$14,O37=Data!$E$15,O37=Data!$E$16,O37=Data!$E$17,O37=Data!$E$18,O37=Data!$E$19,O37=Data!$E$20,O37=Data!$E$21)," ","?")</f>
        <v>?</v>
      </c>
      <c r="AR129" s="231" t="str">
        <f>IF(OR(O38=Data!$E$9,O38=Data!$E$10,O38=Data!$E$11,O38=Data!$E$12,O38=Data!$E$13,O38=Data!$E$14,O38=Data!$E$15,O38=Data!$E$16,O38=Data!$E$17,O38=Data!$E$18,O38=Data!$E$19,O38=Data!$E$20,O38=Data!$E$21)," ","?")</f>
        <v>?</v>
      </c>
      <c r="AS129" s="231" t="str">
        <f>IF(OR(O39=Data!$E$9,O39=Data!$E$10,O39=Data!$E$11,O39=Data!$E$12,O39=Data!$E$13,O39=Data!$E$14,O39=Data!$E$15,O39=Data!$E$16,O39=Data!$E$17,O39=Data!$E$18,O39=Data!$E$19,O39=Data!$E$20,O39=Data!$E$21)," ","?")</f>
        <v>?</v>
      </c>
      <c r="AT129" s="231" t="str">
        <f>IF(OR(O40=Data!$E$9,O40=Data!$E$10,O40=Data!$E$11,O40=Data!$E$12,O40=Data!$E$13,O40=Data!$E$14,O40=Data!$E$15,O40=Data!$E$16,O40=Data!$E$17,O40=Data!$E$18,O40=Data!$E$19,O40=Data!$E$20,O40=Data!$E$21)," ","?")</f>
        <v>?</v>
      </c>
      <c r="AU129" s="231" t="str">
        <f>IF(OR(O41=Data!$E$9,O41=Data!$E$10,O41=Data!$E$11,O41=Data!$E$12,O41=Data!$E$13,O41=Data!$E$14,O41=Data!$E$15,O41=Data!$E$16,O41=Data!$E$17,O41=Data!$E$18,O41=Data!$E$19,O41=Data!$E$20,O41=Data!$E$21)," ","?")</f>
        <v>?</v>
      </c>
      <c r="AV129" s="231" t="str">
        <f>IF(OR(O42=Data!$E$9,O42=Data!$E$10,O42=Data!$E$11,O42=Data!$E$12,O42=Data!$E$13,O42=Data!$E$14,O42=Data!$E$15,O42=Data!$E$16,O42=Data!$E$17,O42=Data!$E$18,O42=Data!$E$19,O42=Data!$E$20,O42=Data!$E$21)," ","?")</f>
        <v>?</v>
      </c>
      <c r="AW129" s="231" t="str">
        <f>IF(OR(O43=Data!$E$9,O43=Data!$E$10,O43=Data!$E$11,O43=Data!$E$12,O43=Data!$E$13,O43=Data!$E$14,O43=Data!$E$15,O43=Data!$E$16,O43=Data!$E$17,O43=Data!$E$18,O43=Data!$E$19,O43=Data!$E$20,O43=Data!$E$21)," ","?")</f>
        <v>?</v>
      </c>
      <c r="AX129" s="231" t="str">
        <f>IF(OR(O44=Data!$E$9,O44=Data!$E$10,O44=Data!$E$11,O44=Data!$E$12,O44=Data!$E$13,O44=Data!$E$14,O44=Data!$E$15,O44=Data!$E$16,O44=Data!$E$17,O44=Data!$E$18,O44=Data!$E$19,O44=Data!$E$20,O44=Data!$E$21)," ","?")</f>
        <v>?</v>
      </c>
      <c r="AY129" s="231" t="str">
        <f>IF(OR(O45=Data!$E$9,O45=Data!$E$10,O45=Data!$E$11,O45=Data!$E$12,O45=Data!$E$13,O45=Data!$E$14,O45=Data!$E$15,O45=Data!$E$16,O45=Data!$E$17,O45=Data!$E$18,O45=Data!$E$19,O45=Data!$E$20,O45=Data!$E$21)," ","?")</f>
        <v>?</v>
      </c>
      <c r="AZ129" s="231" t="str">
        <f>IF(OR(O46=Data!$E$9,O46=Data!$E$10,O46=Data!$E$11,O46=Data!$E$12,O46=Data!$E$13,O46=Data!$E$14,O46=Data!$E$15,O46=Data!$E$16,O46=Data!$E$17,O46=Data!$E$18,O46=Data!$E$19,O46=Data!$E$20,O46=Data!$E$21)," ","?")</f>
        <v>?</v>
      </c>
      <c r="BA129" s="231" t="str">
        <f>IF(OR(O47=Data!$E$9,O47=Data!$E$10,O47=Data!$E$11,O47=Data!$E$12,O47=Data!$E$13,O47=Data!$E$14,O47=Data!$E$15,O47=Data!$E$16,O47=Data!$E$17,O47=Data!$E$18,O47=Data!$E$19,O47=Data!$E$20,O47=Data!$E$21)," ","?")</f>
        <v>?</v>
      </c>
      <c r="BR129" s="138"/>
      <c r="CF129" s="135"/>
    </row>
    <row r="130" spans="1:84" ht="16.5" customHeight="1" x14ac:dyDescent="0.35">
      <c r="B130" s="196"/>
      <c r="C130" s="132"/>
      <c r="D130" s="429"/>
      <c r="E130" s="429"/>
      <c r="F130" s="429"/>
      <c r="G130" s="429"/>
      <c r="H130" s="429"/>
      <c r="I130" s="429"/>
      <c r="J130" s="232"/>
      <c r="K130" s="232"/>
      <c r="L130" s="232"/>
      <c r="M130" s="218"/>
      <c r="N130" s="218"/>
      <c r="O130" s="218"/>
      <c r="P130" s="218"/>
      <c r="Q130" s="225">
        <f>SUM(O127:O129)*4/2</f>
        <v>0</v>
      </c>
      <c r="X130" s="442" t="s">
        <v>734</v>
      </c>
      <c r="Y130" s="442"/>
      <c r="Z130" s="442"/>
      <c r="AA130" s="442"/>
      <c r="AB130" s="442"/>
      <c r="AC130" s="442"/>
      <c r="AD130" s="442"/>
      <c r="AE130" s="442"/>
      <c r="AF130" s="442"/>
      <c r="AG130" s="442"/>
      <c r="AH130" s="442"/>
      <c r="AI130" s="442"/>
      <c r="AJ130" s="442"/>
      <c r="AK130" s="442"/>
      <c r="AL130" s="442"/>
      <c r="AM130" s="442"/>
      <c r="AN130" s="442"/>
      <c r="AO130" s="442"/>
      <c r="AP130" s="442"/>
      <c r="AQ130" s="442"/>
      <c r="AR130" s="442"/>
      <c r="AS130" s="442"/>
      <c r="AT130" s="442"/>
      <c r="AU130" s="442"/>
      <c r="AV130" s="442"/>
      <c r="AW130" s="442"/>
      <c r="AX130" s="442"/>
      <c r="AY130" s="442"/>
      <c r="AZ130" s="442"/>
      <c r="BA130" s="442"/>
      <c r="BR130" s="138"/>
      <c r="CF130" s="135"/>
    </row>
    <row r="131" spans="1:84" ht="16.5" customHeight="1" x14ac:dyDescent="0.35">
      <c r="B131" s="196"/>
      <c r="C131" s="132"/>
      <c r="D131" s="430"/>
      <c r="E131" s="430"/>
      <c r="F131" s="430"/>
      <c r="G131" s="430"/>
      <c r="H131" s="430"/>
      <c r="I131" s="430"/>
      <c r="J131" s="226"/>
      <c r="K131" s="226"/>
      <c r="L131" s="226"/>
      <c r="M131" s="218"/>
      <c r="N131" s="218"/>
      <c r="O131" s="233"/>
      <c r="P131" s="234"/>
      <c r="Q131" s="407"/>
      <c r="S131" s="406" t="s">
        <v>464</v>
      </c>
      <c r="T131" s="406"/>
      <c r="U131" s="406"/>
      <c r="X131" s="442"/>
      <c r="Y131" s="442"/>
      <c r="Z131" s="442"/>
      <c r="AA131" s="442"/>
      <c r="AB131" s="442"/>
      <c r="AC131" s="442"/>
      <c r="AD131" s="442"/>
      <c r="AE131" s="442"/>
      <c r="AF131" s="442"/>
      <c r="AG131" s="442"/>
      <c r="AH131" s="442"/>
      <c r="AI131" s="442"/>
      <c r="AJ131" s="442"/>
      <c r="AK131" s="442"/>
      <c r="AL131" s="442"/>
      <c r="AM131" s="442"/>
      <c r="AN131" s="442"/>
      <c r="AO131" s="442"/>
      <c r="AP131" s="442"/>
      <c r="AQ131" s="442"/>
      <c r="AR131" s="442"/>
      <c r="AS131" s="442"/>
      <c r="AT131" s="442"/>
      <c r="AU131" s="442"/>
      <c r="AV131" s="442"/>
      <c r="AW131" s="442"/>
      <c r="AX131" s="442"/>
      <c r="AY131" s="442"/>
      <c r="AZ131" s="442"/>
      <c r="BA131" s="442"/>
      <c r="BR131" s="138"/>
      <c r="CF131" s="135"/>
    </row>
    <row r="132" spans="1:84" ht="16.5" customHeight="1" thickBot="1" x14ac:dyDescent="0.4">
      <c r="A132" s="196"/>
      <c r="B132" s="196"/>
      <c r="C132" s="132"/>
      <c r="D132" s="207" t="s">
        <v>477</v>
      </c>
      <c r="E132" s="208"/>
      <c r="F132" s="209"/>
      <c r="G132" s="209"/>
      <c r="H132" s="209"/>
      <c r="I132" s="209"/>
      <c r="J132" s="209"/>
      <c r="K132" s="210"/>
      <c r="L132" s="210"/>
      <c r="M132" s="213"/>
      <c r="N132" s="213"/>
      <c r="O132" s="213"/>
      <c r="P132" s="213"/>
      <c r="Q132" s="408"/>
      <c r="S132" s="406"/>
      <c r="T132" s="406"/>
      <c r="U132" s="406"/>
      <c r="W132" s="441" t="s">
        <v>468</v>
      </c>
      <c r="X132" s="439">
        <v>1</v>
      </c>
      <c r="Y132" s="439">
        <v>2</v>
      </c>
      <c r="Z132" s="439">
        <v>3</v>
      </c>
      <c r="AA132" s="439">
        <v>4</v>
      </c>
      <c r="AB132" s="439">
        <v>5</v>
      </c>
      <c r="AC132" s="439">
        <v>6</v>
      </c>
      <c r="AD132" s="439">
        <v>7</v>
      </c>
      <c r="AE132" s="439">
        <v>8</v>
      </c>
      <c r="AF132" s="439">
        <v>9</v>
      </c>
      <c r="AG132" s="439">
        <v>10</v>
      </c>
      <c r="AH132" s="439">
        <v>11</v>
      </c>
      <c r="AI132" s="439">
        <v>12</v>
      </c>
      <c r="AJ132" s="439">
        <v>13</v>
      </c>
      <c r="AK132" s="439">
        <v>14</v>
      </c>
      <c r="AL132" s="439">
        <v>15</v>
      </c>
      <c r="AM132" s="439">
        <v>16</v>
      </c>
      <c r="AN132" s="439">
        <v>17</v>
      </c>
      <c r="AO132" s="439">
        <v>18</v>
      </c>
      <c r="AP132" s="439">
        <v>19</v>
      </c>
      <c r="AQ132" s="439">
        <v>20</v>
      </c>
      <c r="AR132" s="439">
        <v>21</v>
      </c>
      <c r="AS132" s="439">
        <v>22</v>
      </c>
      <c r="AT132" s="439">
        <v>23</v>
      </c>
      <c r="AU132" s="439">
        <v>24</v>
      </c>
      <c r="AV132" s="439">
        <v>25</v>
      </c>
      <c r="AW132" s="439">
        <v>26</v>
      </c>
      <c r="AX132" s="439">
        <v>27</v>
      </c>
      <c r="AY132" s="439">
        <v>28</v>
      </c>
      <c r="AZ132" s="439">
        <v>29</v>
      </c>
      <c r="BA132" s="439">
        <v>30</v>
      </c>
      <c r="BR132" s="138"/>
      <c r="CF132" s="135"/>
    </row>
    <row r="133" spans="1:84" ht="18.5" thickBot="1" x14ac:dyDescent="0.4">
      <c r="A133" s="196"/>
      <c r="B133" s="196"/>
      <c r="C133" s="132"/>
      <c r="D133" s="216"/>
      <c r="E133" s="217"/>
      <c r="F133" s="138"/>
      <c r="G133" s="138"/>
      <c r="H133" s="138"/>
      <c r="I133" s="138"/>
      <c r="J133" s="138"/>
      <c r="K133" s="138"/>
      <c r="L133" s="138"/>
      <c r="M133" s="218"/>
      <c r="N133" s="218"/>
      <c r="O133" s="227"/>
      <c r="P133" s="227"/>
      <c r="Q133" s="227"/>
      <c r="W133" s="441"/>
      <c r="X133" s="440"/>
      <c r="Y133" s="440"/>
      <c r="Z133" s="440"/>
      <c r="AA133" s="440"/>
      <c r="AB133" s="440"/>
      <c r="AC133" s="440"/>
      <c r="AD133" s="440"/>
      <c r="AE133" s="440"/>
      <c r="AF133" s="440"/>
      <c r="AG133" s="440"/>
      <c r="AH133" s="440"/>
      <c r="AI133" s="440"/>
      <c r="AJ133" s="440"/>
      <c r="AK133" s="440"/>
      <c r="AL133" s="440"/>
      <c r="AM133" s="440"/>
      <c r="AN133" s="440"/>
      <c r="AO133" s="440"/>
      <c r="AP133" s="440"/>
      <c r="AQ133" s="440"/>
      <c r="AR133" s="440"/>
      <c r="AS133" s="440"/>
      <c r="AT133" s="440"/>
      <c r="AU133" s="440"/>
      <c r="AV133" s="440"/>
      <c r="AW133" s="440"/>
      <c r="AX133" s="440"/>
      <c r="AY133" s="440"/>
      <c r="AZ133" s="440"/>
      <c r="BA133" s="440"/>
      <c r="BR133" s="138"/>
      <c r="CF133" s="135"/>
    </row>
    <row r="134" spans="1:84" ht="37.5" customHeight="1" x14ac:dyDescent="0.3">
      <c r="A134" s="196"/>
      <c r="B134" s="196"/>
      <c r="C134" s="220">
        <v>8</v>
      </c>
      <c r="D134" s="433" t="s">
        <v>738</v>
      </c>
      <c r="E134" s="402"/>
      <c r="F134" s="402"/>
      <c r="G134" s="402"/>
      <c r="H134" s="402"/>
      <c r="I134" s="402"/>
      <c r="J134" s="402"/>
      <c r="K134" s="402"/>
      <c r="L134" s="402"/>
      <c r="M134" s="402"/>
      <c r="N134" s="402"/>
      <c r="O134" s="402"/>
      <c r="P134" s="139"/>
      <c r="Q134" s="235" t="s">
        <v>10</v>
      </c>
      <c r="S134" s="400" t="s">
        <v>463</v>
      </c>
      <c r="T134" s="400"/>
      <c r="U134" s="400"/>
      <c r="X134" s="231" t="str">
        <f>IF(OR(O18=Data!$E$4,O18=Data!$E$5,O18=Data!$E$6,O18=Data!$E$7,O18=Data!$E$8,O18=Data!$E$9,O18=Data!$E$10,O18=Data!$E$11,O18=Data!$E$18,O18=Data!$E$19,O18=Data!$E$20,O18=Data!$E$21)," ","?")</f>
        <v>?</v>
      </c>
      <c r="Y134" s="231" t="str">
        <f>IF(OR(O19=Data!$E$4,O19=Data!$E$5,O19=Data!$E$6,O19=Data!$E$7,O19=Data!$E$8,O19=Data!$E$9,O19=Data!$E$10,O19=Data!$E$11,O19=Data!$E$18,O19=Data!$E$19,O19=Data!$E$20,O19=Data!$E$21)," ","?")</f>
        <v>?</v>
      </c>
      <c r="Z134" s="231" t="str">
        <f>IF(OR(O20=Data!$E$4,O20=Data!$E$5,O20=Data!$E$6,O20=Data!$E$7,O20=Data!$E$8,O20=Data!$E$9,O20=Data!$E$10,O20=Data!$E$11,O20=Data!$E$18,O20=Data!$E$19,O20=Data!$E$20,O20=Data!$E$21)," ","?")</f>
        <v>?</v>
      </c>
      <c r="AA134" s="231" t="str">
        <f>IF(OR(O21=Data!$E$4,O21=Data!$E$5,O21=Data!$E$6,O21=Data!$E$7,O21=Data!$E$8,O21=Data!$E$9,O21=Data!$E$10,O21=Data!$E$11,O21=Data!$E$18,O21=Data!$E$19,O21=Data!$E$20,O21=Data!$E$21)," ","?")</f>
        <v>?</v>
      </c>
      <c r="AB134" s="231" t="str">
        <f>IF(OR(O22=Data!$E$4,O22=Data!$E$5,O22=Data!$E$6,O22=Data!$E$7,O22=Data!$E$8,O22=Data!$E$9,O22=Data!$E$10,O22=Data!$E$11,O22=Data!$E$18,O22=Data!$E$19,O22=Data!$E$20,O22=Data!$E$21)," ","?")</f>
        <v>?</v>
      </c>
      <c r="AC134" s="231" t="str">
        <f>IF(OR(O23=Data!$E$4,O23=Data!$E$5,O23=Data!$E$6,O23=Data!$E$7,O23=Data!$E$8,O23=Data!$E$9,O23=Data!$E$10,O23=Data!$E$11,O23=Data!$E$18,O23=Data!$E$19,O23=Data!$E$20,O23=Data!$E$21)," ","?")</f>
        <v>?</v>
      </c>
      <c r="AD134" s="231" t="str">
        <f>IF(OR(O24=Data!$E$4,O24=Data!$E$5,O24=Data!$E$6,O24=Data!$E$7,O24=Data!$E$8,O24=Data!$E$9,O24=Data!$E$10,O24=Data!$E$11,O24=Data!$E$18,O24=Data!$E$19,O24=Data!$E$20,O24=Data!$E$21)," ","?")</f>
        <v>?</v>
      </c>
      <c r="AE134" s="231" t="str">
        <f>IF(OR(O25=Data!$E$4,O25=Data!$E$5,O25=Data!$E$6,O25=Data!$E$7,O25=Data!$E$8,O25=Data!$E$9,O25=Data!$E$10,O25=Data!$E$11,O25=Data!$E$18,O25=Data!$E$19,O25=Data!$E$20,O25=Data!$E$21)," ","?")</f>
        <v>?</v>
      </c>
      <c r="AF134" s="231" t="str">
        <f>IF(OR(O26=Data!$E$4,O26=Data!$E$5,O26=Data!$E$6,O26=Data!$E$7,O26=Data!$E$8,O26=Data!$E$9,O26=Data!$E$10,O26=Data!$E$11,O26=Data!$E$18,O26=Data!$E$19,O26=Data!$E$20,O26=Data!$E$21)," ","?")</f>
        <v>?</v>
      </c>
      <c r="AG134" s="231" t="str">
        <f>IF(OR(O27=Data!$E$4,O27=Data!$E$5,O27=Data!$E$6,O27=Data!$E$7,O27=Data!$E$8,O27=Data!$E$9,O27=Data!$E$10,O27=Data!$E$11,O27=Data!$E$18,O27=Data!$E$19,O27=Data!$E$20,O27=Data!$E$21)," ","?")</f>
        <v>?</v>
      </c>
      <c r="AH134" s="231" t="str">
        <f>IF(OR(O28=Data!$E$4,O28=Data!$E$5,O28=Data!$E$6,O28=Data!$E$7,O28=Data!$E$8,O28=Data!$E$9,O28=Data!$E$10,O28=Data!$E$11,O28=Data!$E$18,O28=Data!$E$19,O28=Data!$E$20,O28=Data!$E$21)," ","?")</f>
        <v>?</v>
      </c>
      <c r="AI134" s="231" t="str">
        <f>IF(OR(O29=Data!$E$4,O29=Data!$E$5,O29=Data!$E$6,O29=Data!$E$7,O29=Data!$E$8,O29=Data!$E$9,O29=Data!$E$10,O29=Data!$E$11,O29=Data!$E$18,O29=Data!$E$19,O29=Data!$E$20,O29=Data!$E$21)," ","?")</f>
        <v>?</v>
      </c>
      <c r="AJ134" s="231" t="str">
        <f>IF(OR(O30=Data!$E$4,O30=Data!$E$5,O30=Data!$E$6,O30=Data!$E$7,O30=Data!$E$8,O30=Data!$E$9,O30=Data!$E$10,O30=Data!$E$11,O30=Data!$E$18,O30=Data!$E$19,O30=Data!$E$20,O30=Data!$E$21)," ","?")</f>
        <v>?</v>
      </c>
      <c r="AK134" s="231" t="str">
        <f>IF(OR(O31=Data!$E$4,O31=Data!$E$5,O31=Data!$E$6,O31=Data!$E$7,O31=Data!$E$8,O31=Data!$E$9,O31=Data!$E$10,O31=Data!$E$11,O31=Data!$E$18,O31=Data!$E$19,O31=Data!$E$20,O31=Data!$E$21)," ","?")</f>
        <v>?</v>
      </c>
      <c r="AL134" s="231" t="str">
        <f>IF(OR(O32=Data!$E$4,O32=Data!$E$5,O32=Data!$E$6,O32=Data!$E$7,O32=Data!$E$8,O32=Data!$E$9,O32=Data!$E$10,O32=Data!$E$11,O32=Data!$E$18,O32=Data!$E$19,O32=Data!$E$20,O32=Data!$E$21)," ","?")</f>
        <v>?</v>
      </c>
      <c r="AM134" s="231" t="str">
        <f>IF(OR(O33=Data!$E$4,O33=Data!$E$5,O33=Data!$E$6,O33=Data!$E$7,O33=Data!$E$8,O33=Data!$E$9,O33=Data!$E$10,O33=Data!$E$11,O33=Data!$E$18,O33=Data!$E$19,O33=Data!$E$20,O33=Data!$E$21)," ","?")</f>
        <v>?</v>
      </c>
      <c r="AN134" s="231" t="str">
        <f>IF(OR(O34=Data!$E$4,O34=Data!$E$5,O34=Data!$E$6,O34=Data!$E$7,O34=Data!$E$8,O34=Data!$E$9,O34=Data!$E$10,O34=Data!$E$11,O34=Data!$E$18,O34=Data!$E$19,O34=Data!$E$20,O34=Data!$E$21)," ","?")</f>
        <v>?</v>
      </c>
      <c r="AO134" s="231" t="str">
        <f>IF(OR(O35=Data!$E$4,O35=Data!$E$5,O35=Data!$E$6,O35=Data!$E$7,O35=Data!$E$8,O35=Data!$E$9,O35=Data!$E$10,O35=Data!$E$11,O35=Data!$E$18,O35=Data!$E$19,O35=Data!$E$20,O35=Data!$E$21)," ","?")</f>
        <v>?</v>
      </c>
      <c r="AP134" s="231" t="str">
        <f>IF(OR(O36=Data!$E$4,O36=Data!$E$5,O36=Data!$E$6,O36=Data!$E$7,O36=Data!$E$8,O36=Data!$E$9,O36=Data!$E$10,O36=Data!$E$11,O36=Data!$E$18,O36=Data!$E$19,O36=Data!$E$20,O36=Data!$E$21)," ","?")</f>
        <v>?</v>
      </c>
      <c r="AQ134" s="231" t="str">
        <f>IF(OR(O37=Data!$E$4,O37=Data!$E$5,O37=Data!$E$6,O37=Data!$E$7,O37=Data!$E$8,O37=Data!$E$9,O37=Data!$E$10,O37=Data!$E$11,O37=Data!$E$18,O37=Data!$E$19,O37=Data!$E$20,O37=Data!$E$21)," ","?")</f>
        <v>?</v>
      </c>
      <c r="AR134" s="231" t="str">
        <f>IF(OR(O38=Data!$E$4,O38=Data!$E$5,O38=Data!$E$6,O38=Data!$E$7,O38=Data!$E$8,O38=Data!$E$9,O38=Data!$E$10,O38=Data!$E$11,O38=Data!$E$18,O38=Data!$E$19,O38=Data!$E$20,O38=Data!$E$21)," ","?")</f>
        <v>?</v>
      </c>
      <c r="AS134" s="231" t="str">
        <f>IF(OR(O39=Data!$E$4,O39=Data!$E$5,O39=Data!$E$6,O39=Data!$E$7,O39=Data!$E$8,O39=Data!$E$9,O39=Data!$E$10,O39=Data!$E$11,O39=Data!$E$18,O39=Data!$E$19,O39=Data!$E$20,O39=Data!$E$21)," ","?")</f>
        <v>?</v>
      </c>
      <c r="AT134" s="231" t="str">
        <f>IF(OR(O40=Data!$E$4,O40=Data!$E$5,O40=Data!$E$6,O40=Data!$E$7,O40=Data!$E$8,O40=Data!$E$9,O40=Data!$E$10,O40=Data!$E$11,O40=Data!$E$18,O40=Data!$E$19,O40=Data!$E$20,O40=Data!$E$21)," ","?")</f>
        <v>?</v>
      </c>
      <c r="AU134" s="231" t="str">
        <f>IF(OR(O41=Data!$E$4,O41=Data!$E$5,O41=Data!$E$6,O41=Data!$E$7,O41=Data!$E$8,O41=Data!$E$9,O41=Data!$E$10,O41=Data!$E$11,O41=Data!$E$18,O41=Data!$E$19,O41=Data!$E$20,O41=Data!$E$21)," ","?")</f>
        <v>?</v>
      </c>
      <c r="AV134" s="231" t="str">
        <f>IF(OR(O42=Data!$E$4,O42=Data!$E$5,O42=Data!$E$6,O42=Data!$E$7,O42=Data!$E$8,O42=Data!$E$9,O42=Data!$E$10,O42=Data!$E$11,O42=Data!$E$18,O42=Data!$E$19,O42=Data!$E$20,O42=Data!$E$21)," ","?")</f>
        <v>?</v>
      </c>
      <c r="AW134" s="231" t="str">
        <f>IF(OR(O43=Data!$E$4,O43=Data!$E$5,O43=Data!$E$6,O43=Data!$E$7,O43=Data!$E$8,O43=Data!$E$9,O43=Data!$E$10,O43=Data!$E$11,O43=Data!$E$18,O43=Data!$E$19,O43=Data!$E$20,O43=Data!$E$21)," ","?")</f>
        <v>?</v>
      </c>
      <c r="AX134" s="231" t="str">
        <f>IF(OR(O44=Data!$E$4,O44=Data!$E$5,O44=Data!$E$6,O44=Data!$E$7,O44=Data!$E$8,O44=Data!$E$9,O44=Data!$E$10,O44=Data!$E$11,O44=Data!$E$18,O44=Data!$E$19,O44=Data!$E$20,O44=Data!$E$21)," ","?")</f>
        <v>?</v>
      </c>
      <c r="AY134" s="231" t="str">
        <f>IF(OR(O45=Data!$E$4,O45=Data!$E$5,O45=Data!$E$6,O45=Data!$E$7,O45=Data!$E$8,O45=Data!$E$9,O45=Data!$E$10,O45=Data!$E$11,O45=Data!$E$18,O45=Data!$E$19,O45=Data!$E$20,O45=Data!$E$21)," ","?")</f>
        <v>?</v>
      </c>
      <c r="AZ134" s="231" t="str">
        <f>IF(OR(O46=Data!$E$4,O46=Data!$E$5,O46=Data!$E$6,O46=Data!$E$7,O46=Data!$E$8,O46=Data!$E$9,O46=Data!$E$10,O46=Data!$E$11,O46=Data!$E$18,O46=Data!$E$19,O46=Data!$E$20,O46=Data!$E$21)," ","?")</f>
        <v>?</v>
      </c>
      <c r="BA134" s="231" t="str">
        <f>IF(OR(O47=Data!$E$4,O47=Data!$E$5,O47=Data!$E$6,O47=Data!$E$7,O47=Data!$E$8,O47=Data!$E$9,O47=Data!$E$10,O47=Data!$E$11,O47=Data!$E$18,O47=Data!$E$19,O47=Data!$E$20,O47=Data!$E$21)," ","?")</f>
        <v>?</v>
      </c>
      <c r="BR134" s="138"/>
      <c r="CF134" s="135"/>
    </row>
    <row r="135" spans="1:84" ht="37.5" customHeight="1" x14ac:dyDescent="0.3">
      <c r="A135" s="196"/>
      <c r="B135" s="196"/>
      <c r="C135" s="220">
        <v>9</v>
      </c>
      <c r="D135" s="433" t="s">
        <v>739</v>
      </c>
      <c r="E135" s="402"/>
      <c r="F135" s="402"/>
      <c r="G135" s="402"/>
      <c r="H135" s="402"/>
      <c r="I135" s="402"/>
      <c r="J135" s="402"/>
      <c r="K135" s="402"/>
      <c r="L135" s="402"/>
      <c r="M135" s="402"/>
      <c r="N135" s="402"/>
      <c r="O135" s="402"/>
      <c r="P135" s="139"/>
      <c r="Q135" s="235" t="s">
        <v>10</v>
      </c>
      <c r="S135" s="400" t="s">
        <v>463</v>
      </c>
      <c r="T135" s="400"/>
      <c r="U135" s="400"/>
      <c r="X135" s="231" t="str">
        <f>IF(OR(O18=Data!$E$4,O18=Data!$E$5,O18=Data!$E$6,O18=Data!$E$7,O18=Data!$E$8,O18=Data!$E$9,O18=Data!$E$18,O18=Data!$E$19,O18=Data!$E$20,O18=Data!$E$21)," ","?")</f>
        <v>?</v>
      </c>
      <c r="Y135" s="231" t="str">
        <f>IF(OR(O19=Data!$E$4,O19=Data!$E$5,O19=Data!$E$6,O19=Data!$E$7,O19=Data!$E$8,O19=Data!$E$9,O19=Data!$E$18,O19=Data!$E$19,O19=Data!$E$20,O19=Data!$E$21)," ","?")</f>
        <v>?</v>
      </c>
      <c r="Z135" s="231" t="str">
        <f>IF(OR(O20=Data!$E$4,O20=Data!$E$5,O20=Data!$E$6,O20=Data!$E$7,O20=Data!$E$8,O20=Data!$E$9,O20=Data!$E$18,O20=Data!$E$19,O20=Data!$E$20,O20=Data!$E$21)," ","?")</f>
        <v>?</v>
      </c>
      <c r="AA135" s="231" t="str">
        <f>IF(OR(O21=Data!$E$4,O21=Data!$E$5,O21=Data!$E$6,O21=Data!$E$7,O21=Data!$E$8,O21=Data!$E$9,O21=Data!$E$18,O21=Data!$E$19,O21=Data!$E$20,O21=Data!$E$21)," ","?")</f>
        <v>?</v>
      </c>
      <c r="AB135" s="231" t="str">
        <f>IF(OR(O22=Data!$E$4,O22=Data!$E$5,O22=Data!$E$6,O22=Data!$E$7,O22=Data!$E$8,O22=Data!$E$9,O22=Data!$E$18,O22=Data!$E$19,O22=Data!$E$20,O22=Data!$E$21)," ","?")</f>
        <v>?</v>
      </c>
      <c r="AC135" s="231" t="str">
        <f>IF(OR(O23=Data!$E$4,O23=Data!$E$5,O23=Data!$E$6,O23=Data!$E$7,O23=Data!$E$8,O23=Data!$E$9,O23=Data!$E$18,O23=Data!$E$19,O23=Data!$E$20,O23=Data!$E$21)," ","?")</f>
        <v>?</v>
      </c>
      <c r="AD135" s="231" t="str">
        <f>IF(OR(O24=Data!$E$4,O24=Data!$E$5,O24=Data!$E$6,O24=Data!$E$7,O24=Data!$E$8,O24=Data!$E$9,O24=Data!$E$18,O24=Data!$E$19,O24=Data!$E$20,O24=Data!$E$21)," ","?")</f>
        <v>?</v>
      </c>
      <c r="AE135" s="231" t="str">
        <f>IF(OR(O25=Data!$E$4,O25=Data!$E$5,O25=Data!$E$6,O25=Data!$E$7,O25=Data!$E$8,O25=Data!$E$9,O25=Data!$E$18,O25=Data!$E$19,O25=Data!$E$20,O25=Data!$E$21)," ","?")</f>
        <v>?</v>
      </c>
      <c r="AF135" s="231" t="str">
        <f>IF(OR(O26=Data!$E$4,O26=Data!$E$5,O26=Data!$E$6,O26=Data!$E$7,O26=Data!$E$8,O26=Data!$E$9,O26=Data!$E$18,O26=Data!$E$19,O26=Data!$E$20,O26=Data!$E$21)," ","?")</f>
        <v>?</v>
      </c>
      <c r="AG135" s="231" t="str">
        <f>IF(OR(O27=Data!$E$4,O27=Data!$E$5,O27=Data!$E$6,O27=Data!$E$7,O27=Data!$E$8,O27=Data!$E$9,O27=Data!$E$18,O27=Data!$E$19,O27=Data!$E$20,O27=Data!$E$21)," ","?")</f>
        <v>?</v>
      </c>
      <c r="AH135" s="231" t="str">
        <f>IF(OR(O28=Data!$E$4,O28=Data!$E$5,O28=Data!$E$6,O28=Data!$E$7,O28=Data!$E$8,O28=Data!$E$9,O28=Data!$E$18,O28=Data!$E$19,O28=Data!$E$20,O28=Data!$E$21)," ","?")</f>
        <v>?</v>
      </c>
      <c r="AI135" s="231" t="str">
        <f>IF(OR(O29=Data!$E$4,O29=Data!$E$5,O29=Data!$E$6,O29=Data!$E$7,O29=Data!$E$8,O29=Data!$E$9,O29=Data!$E$18,O29=Data!$E$19,O29=Data!$E$20,O29=Data!$E$21)," ","?")</f>
        <v>?</v>
      </c>
      <c r="AJ135" s="231" t="str">
        <f>IF(OR(O30=Data!$E$4,O30=Data!$E$5,O30=Data!$E$6,O30=Data!$E$7,O30=Data!$E$8,O30=Data!$E$9,O30=Data!$E$18,O30=Data!$E$19,O30=Data!$E$20,O30=Data!$E$21)," ","?")</f>
        <v>?</v>
      </c>
      <c r="AK135" s="231" t="str">
        <f>IF(OR(O31=Data!$E$4,O31=Data!$E$5,O31=Data!$E$6,O31=Data!$E$7,O31=Data!$E$8,O31=Data!$E$9,O31=Data!$E$18,O31=Data!$E$19,O31=Data!$E$20,O31=Data!$E$21)," ","?")</f>
        <v>?</v>
      </c>
      <c r="AL135" s="231" t="str">
        <f>IF(OR(O32=Data!$E$4,O32=Data!$E$5,O32=Data!$E$6,O32=Data!$E$7,O32=Data!$E$8,O32=Data!$E$9,O32=Data!$E$18,O32=Data!$E$19,O32=Data!$E$20,O32=Data!$E$21)," ","?")</f>
        <v>?</v>
      </c>
      <c r="AM135" s="231" t="str">
        <f>IF(OR(O33=Data!$E$4,O33=Data!$E$5,O33=Data!$E$6,O33=Data!$E$7,O33=Data!$E$8,O33=Data!$E$9,O33=Data!$E$18,O33=Data!$E$19,O33=Data!$E$20,O33=Data!$E$21)," ","?")</f>
        <v>?</v>
      </c>
      <c r="AN135" s="231" t="str">
        <f>IF(OR(O34=Data!$E$4,O34=Data!$E$5,O34=Data!$E$6,O34=Data!$E$7,O34=Data!$E$8,O34=Data!$E$9,O34=Data!$E$18,O34=Data!$E$19,O34=Data!$E$20,O34=Data!$E$21)," ","?")</f>
        <v>?</v>
      </c>
      <c r="AO135" s="231" t="str">
        <f>IF(OR(O35=Data!$E$4,O35=Data!$E$5,O35=Data!$E$6,O35=Data!$E$7,O35=Data!$E$8,O35=Data!$E$9,O35=Data!$E$18,O35=Data!$E$19,O35=Data!$E$20,O35=Data!$E$21)," ","?")</f>
        <v>?</v>
      </c>
      <c r="AP135" s="231" t="str">
        <f>IF(OR(O36=Data!$E$4,O36=Data!$E$5,O36=Data!$E$6,O36=Data!$E$7,O36=Data!$E$8,O36=Data!$E$9,O36=Data!$E$18,O36=Data!$E$19,O36=Data!$E$20,O36=Data!$E$21)," ","?")</f>
        <v>?</v>
      </c>
      <c r="AQ135" s="231" t="str">
        <f>IF(OR(O37=Data!$E$4,O37=Data!$E$5,O37=Data!$E$6,O37=Data!$E$7,O37=Data!$E$8,O37=Data!$E$9,O37=Data!$E$18,O37=Data!$E$19,O37=Data!$E$20,O37=Data!$E$21)," ","?")</f>
        <v>?</v>
      </c>
      <c r="AR135" s="231" t="str">
        <f>IF(OR(O38=Data!$E$4,O38=Data!$E$5,O38=Data!$E$6,O38=Data!$E$7,O38=Data!$E$8,O38=Data!$E$9,O38=Data!$E$18,O38=Data!$E$19,O38=Data!$E$20,O38=Data!$E$21)," ","?")</f>
        <v>?</v>
      </c>
      <c r="AS135" s="231" t="str">
        <f>IF(OR(O39=Data!$E$4,O39=Data!$E$5,O39=Data!$E$6,O39=Data!$E$7,O39=Data!$E$8,O39=Data!$E$9,O39=Data!$E$18,O39=Data!$E$19,O39=Data!$E$20,O39=Data!$E$21)," ","?")</f>
        <v>?</v>
      </c>
      <c r="AT135" s="231" t="str">
        <f>IF(OR(O40=Data!$E$4,O40=Data!$E$5,O40=Data!$E$6,O40=Data!$E$7,O40=Data!$E$8,O40=Data!$E$9,O40=Data!$E$18,O40=Data!$E$19,O40=Data!$E$20,O40=Data!$E$21)," ","?")</f>
        <v>?</v>
      </c>
      <c r="AU135" s="231" t="str">
        <f>IF(OR(O41=Data!$E$4,O41=Data!$E$5,O41=Data!$E$6,O41=Data!$E$7,O41=Data!$E$8,O41=Data!$E$9,O41=Data!$E$18,O41=Data!$E$19,O41=Data!$E$20,O41=Data!$E$21)," ","?")</f>
        <v>?</v>
      </c>
      <c r="AV135" s="231" t="str">
        <f>IF(OR(O42=Data!$E$4,O42=Data!$E$5,O42=Data!$E$6,O42=Data!$E$7,O42=Data!$E$8,O42=Data!$E$9,O42=Data!$E$18,O42=Data!$E$19,O42=Data!$E$20,O42=Data!$E$21)," ","?")</f>
        <v>?</v>
      </c>
      <c r="AW135" s="231" t="str">
        <f>IF(OR(O43=Data!$E$4,O43=Data!$E$5,O43=Data!$E$6,O43=Data!$E$7,O43=Data!$E$8,O43=Data!$E$9,O43=Data!$E$18,O43=Data!$E$19,O43=Data!$E$20,O43=Data!$E$21)," ","?")</f>
        <v>?</v>
      </c>
      <c r="AX135" s="231" t="str">
        <f>IF(OR(O44=Data!$E$4,O44=Data!$E$5,O44=Data!$E$6,O44=Data!$E$7,O44=Data!$E$8,O44=Data!$E$9,O44=Data!$E$18,O44=Data!$E$19,O44=Data!$E$20,O44=Data!$E$21)," ","?")</f>
        <v>?</v>
      </c>
      <c r="AY135" s="231" t="str">
        <f>IF(OR(O45=Data!$E$4,O45=Data!$E$5,O45=Data!$E$6,O45=Data!$E$7,O45=Data!$E$8,O45=Data!$E$9,O45=Data!$E$18,O45=Data!$E$19,O45=Data!$E$20,O45=Data!$E$21)," ","?")</f>
        <v>?</v>
      </c>
      <c r="AZ135" s="231" t="str">
        <f>IF(OR(O46=Data!$E$4,O46=Data!$E$5,O46=Data!$E$6,O46=Data!$E$7,O46=Data!$E$8,O46=Data!$E$9,O46=Data!$E$18,O46=Data!$E$19,O46=Data!$E$20,O46=Data!$E$21)," ","?")</f>
        <v>?</v>
      </c>
      <c r="BA135" s="231" t="str">
        <f>IF(OR(O47=Data!$E$4,O47=Data!$E$5,O47=Data!$E$6,O47=Data!$E$7,O47=Data!$E$8,O47=Data!$E$9,O47=Data!$E$18,O47=Data!$E$19,O47=Data!$E$20,O47=Data!$E$21)," ","?")</f>
        <v>?</v>
      </c>
      <c r="BR135" s="138"/>
      <c r="CF135" s="135"/>
    </row>
    <row r="136" spans="1:84" ht="37.5" customHeight="1" x14ac:dyDescent="0.3">
      <c r="A136" s="196"/>
      <c r="B136" s="196"/>
      <c r="C136" s="220">
        <v>10</v>
      </c>
      <c r="D136" s="433" t="s">
        <v>740</v>
      </c>
      <c r="E136" s="402"/>
      <c r="F136" s="402"/>
      <c r="G136" s="402"/>
      <c r="H136" s="402"/>
      <c r="I136" s="402"/>
      <c r="J136" s="402"/>
      <c r="K136" s="402"/>
      <c r="L136" s="402"/>
      <c r="M136" s="402"/>
      <c r="N136" s="402"/>
      <c r="O136" s="402"/>
      <c r="P136" s="139"/>
      <c r="Q136" s="235" t="s">
        <v>10</v>
      </c>
      <c r="S136" s="400" t="s">
        <v>463</v>
      </c>
      <c r="T136" s="400"/>
      <c r="U136" s="400"/>
      <c r="X136" s="231" t="str">
        <f>IF(OR(O18=Data!$E$20,O18=Data!$E$21)," ","?")</f>
        <v>?</v>
      </c>
      <c r="Y136" s="231" t="str">
        <f>IF(OR(O19=Data!$E$20,O19=Data!$E$21)," ","?")</f>
        <v>?</v>
      </c>
      <c r="Z136" s="231" t="str">
        <f>IF(OR(O20=Data!$E$20,O20=Data!$E$21)," ","?")</f>
        <v>?</v>
      </c>
      <c r="AA136" s="231" t="str">
        <f>IF(OR(O21=Data!$E$20,O21=Data!$E$21)," ","?")</f>
        <v>?</v>
      </c>
      <c r="AB136" s="231" t="str">
        <f>IF(OR(O22=Data!$E$20,O22=Data!$E$21)," ","?")</f>
        <v>?</v>
      </c>
      <c r="AC136" s="231" t="str">
        <f>IF(OR(O23=Data!$E$20,O23=Data!$E$21)," ","?")</f>
        <v>?</v>
      </c>
      <c r="AD136" s="231" t="str">
        <f>IF(OR(O24=Data!$E$20,O24=Data!$E$21)," ","?")</f>
        <v>?</v>
      </c>
      <c r="AE136" s="231" t="str">
        <f>IF(OR(O25=Data!$E$20,O25=Data!$E$21)," ","?")</f>
        <v>?</v>
      </c>
      <c r="AF136" s="231" t="str">
        <f>IF(OR(O26=Data!$E$20,O26=Data!$E$21)," ","?")</f>
        <v>?</v>
      </c>
      <c r="AG136" s="231" t="str">
        <f>IF(OR(O27=Data!$E$20,O27=Data!$E$21)," ","?")</f>
        <v>?</v>
      </c>
      <c r="AH136" s="231" t="str">
        <f>IF(OR(O28=Data!$E$20,O28=Data!$E$21)," ","?")</f>
        <v>?</v>
      </c>
      <c r="AI136" s="231" t="str">
        <f>IF(OR(O29=Data!$E$20,O29=Data!$E$21)," ","?")</f>
        <v>?</v>
      </c>
      <c r="AJ136" s="231" t="str">
        <f>IF(OR(O30=Data!$E$20,O30=Data!$E$21)," ","?")</f>
        <v>?</v>
      </c>
      <c r="AK136" s="231" t="str">
        <f>IF(OR(O31=Data!$E$20,O31=Data!$E$21)," ","?")</f>
        <v>?</v>
      </c>
      <c r="AL136" s="231" t="str">
        <f>IF(OR(O32=Data!$E$20,O32=Data!$E$21)," ","?")</f>
        <v>?</v>
      </c>
      <c r="AM136" s="231" t="str">
        <f>IF(OR(O33=Data!$E$20,O33=Data!$E$21)," ","?")</f>
        <v>?</v>
      </c>
      <c r="AN136" s="231" t="str">
        <f>IF(OR(O34=Data!$E$20,O34=Data!$E$21)," ","?")</f>
        <v>?</v>
      </c>
      <c r="AO136" s="231" t="str">
        <f>IF(OR(O35=Data!$E$20,O35=Data!$E$21)," ","?")</f>
        <v>?</v>
      </c>
      <c r="AP136" s="231" t="str">
        <f>IF(OR(O36=Data!$E$20,O36=Data!$E$21)," ","?")</f>
        <v>?</v>
      </c>
      <c r="AQ136" s="231" t="str">
        <f>IF(OR(O37=Data!$E$20,O37=Data!$E$21)," ","?")</f>
        <v>?</v>
      </c>
      <c r="AR136" s="231" t="str">
        <f>IF(OR(O38=Data!$E$20,O38=Data!$E$21)," ","?")</f>
        <v>?</v>
      </c>
      <c r="AS136" s="231" t="str">
        <f>IF(OR(O39=Data!$E$20,O39=Data!$E$21)," ","?")</f>
        <v>?</v>
      </c>
      <c r="AT136" s="231" t="str">
        <f>IF(OR(O40=Data!$E$20,O40=Data!$E$21)," ","?")</f>
        <v>?</v>
      </c>
      <c r="AU136" s="231" t="str">
        <f>IF(OR(O41=Data!$E$20,O41=Data!$E$21)," ","?")</f>
        <v>?</v>
      </c>
      <c r="AV136" s="231" t="str">
        <f>IF(OR(O42=Data!$E$20,O42=Data!$E$21)," ","?")</f>
        <v>?</v>
      </c>
      <c r="AW136" s="231" t="str">
        <f>IF(OR(O43=Data!$E$20,O43=Data!$E$21)," ","?")</f>
        <v>?</v>
      </c>
      <c r="AX136" s="231" t="str">
        <f>IF(OR(O44=Data!$E$20,O44=Data!$E$21)," ","?")</f>
        <v>?</v>
      </c>
      <c r="AY136" s="231" t="str">
        <f>IF(OR(O45=Data!$E$20,O45=Data!$E$21)," ","?")</f>
        <v>?</v>
      </c>
      <c r="AZ136" s="231" t="str">
        <f>IF(OR(O46=Data!$E$20,O46=Data!$E$21)," ","?")</f>
        <v>?</v>
      </c>
      <c r="BA136" s="231" t="str">
        <f>IF(OR(O47=Data!$E$20,O47=Data!$E$21)," ","?")</f>
        <v>?</v>
      </c>
      <c r="BR136" s="138"/>
      <c r="CF136" s="135"/>
    </row>
    <row r="137" spans="1:84" ht="37.5" customHeight="1" x14ac:dyDescent="0.3">
      <c r="A137" s="196"/>
      <c r="B137" s="196"/>
      <c r="C137" s="220">
        <v>11</v>
      </c>
      <c r="D137" s="433" t="s">
        <v>741</v>
      </c>
      <c r="E137" s="402"/>
      <c r="F137" s="402"/>
      <c r="G137" s="402"/>
      <c r="H137" s="402"/>
      <c r="I137" s="402"/>
      <c r="J137" s="402"/>
      <c r="K137" s="402"/>
      <c r="L137" s="402"/>
      <c r="M137" s="402"/>
      <c r="N137" s="402"/>
      <c r="O137" s="402"/>
      <c r="P137" s="139"/>
      <c r="Q137" s="235" t="s">
        <v>10</v>
      </c>
      <c r="S137" s="400" t="s">
        <v>463</v>
      </c>
      <c r="T137" s="400"/>
      <c r="U137" s="400"/>
      <c r="X137" s="231" t="str">
        <f>IF(OR(O18=Data!$E$7,O18=Data!$E$5,O18=Data!$E$6,O18=Data!$E$8,O18=Data!$E$9,O18=Data!$E$10,O18=Data!$E$11,O18=Data!$E$21,O18=Data!$E$20,O18=Data!$E$19,O18=Data!$E$18,O18=Data!$E$4)," ","?")</f>
        <v>?</v>
      </c>
      <c r="Y137" s="231" t="str">
        <f>IF(OR(O19=Data!$E$7,O19=Data!$E$5,O19=Data!$E$6,O19=Data!$E$8,O19=Data!$E$9,O19=Data!$E$10,O19=Data!$E$11,O19=Data!$E$21,O19=Data!$E$20,O19=Data!$E$19,O19=Data!$E$18,O19=Data!$E$4)," ","?")</f>
        <v>?</v>
      </c>
      <c r="Z137" s="231" t="str">
        <f>IF(OR(O20=Data!$E$7,O20=Data!$E$5,O20=Data!$E$6,O20=Data!$E$8,O20=Data!$E$9,O20=Data!$E$10,O20=Data!$E$11,O20=Data!$E$21,O20=Data!$E$20,O20=Data!$E$19,O20=Data!$E$18,O20=Data!$E$4)," ","?")</f>
        <v>?</v>
      </c>
      <c r="AA137" s="231" t="str">
        <f>IF(OR(O21=Data!$E$7,O21=Data!$E$5,O21=Data!$E$6,O21=Data!$E$8,O21=Data!$E$9,O21=Data!$E$10,O21=Data!$E$11,O21=Data!$E$21,O21=Data!$E$20,O21=Data!$E$19,O21=Data!$E$18,O21=Data!$E$4)," ","?")</f>
        <v>?</v>
      </c>
      <c r="AB137" s="231" t="str">
        <f>IF(OR(O22=Data!$E$7,O22=Data!$E$5,O22=Data!$E$6,O22=Data!$E$8,O22=Data!$E$9,O22=Data!$E$10,O22=Data!$E$11,O22=Data!$E$21,O22=Data!$E$20,O22=Data!$E$19,O22=Data!$E$18,O22=Data!$E$4)," ","?")</f>
        <v>?</v>
      </c>
      <c r="AC137" s="231" t="str">
        <f>IF(OR(O23=Data!$E$7,O23=Data!$E$5,O23=Data!$E$6,O23=Data!$E$8,O23=Data!$E$9,O23=Data!$E$10,O23=Data!$E$11,O23=Data!$E$21,O23=Data!$E$20,O23=Data!$E$19,O23=Data!$E$18,O23=Data!$E$4)," ","?")</f>
        <v>?</v>
      </c>
      <c r="AD137" s="231" t="str">
        <f>IF(OR(O24=Data!$E$7,O24=Data!$E$5,O24=Data!$E$6,O24=Data!$E$8,O24=Data!$E$9,O24=Data!$E$10,O24=Data!$E$11,O24=Data!$E$21,O24=Data!$E$20,O24=Data!$E$19,O24=Data!$E$18,O24=Data!$E$4)," ","?")</f>
        <v>?</v>
      </c>
      <c r="AE137" s="231" t="str">
        <f>IF(OR(O25=Data!$E$7,O25=Data!$E$5,O25=Data!$E$6,O25=Data!$E$8,O25=Data!$E$9,O25=Data!$E$10,O25=Data!$E$11,O25=Data!$E$21,O25=Data!$E$20,O25=Data!$E$19,O25=Data!$E$18,O25=Data!$E$4)," ","?")</f>
        <v>?</v>
      </c>
      <c r="AF137" s="231" t="str">
        <f>IF(OR(O26=Data!$E$7,O26=Data!$E$5,O26=Data!$E$6,O26=Data!$E$8,O26=Data!$E$9,O26=Data!$E$10,O26=Data!$E$11,O26=Data!$E$21,O26=Data!$E$20,O26=Data!$E$19,O26=Data!$E$18,O26=Data!$E$4)," ","?")</f>
        <v>?</v>
      </c>
      <c r="AG137" s="231" t="str">
        <f>IF(OR(O27=Data!$E$7,O27=Data!$E$5,O27=Data!$E$6,O27=Data!$E$8,O27=Data!$E$9,O27=Data!$E$10,O27=Data!$E$11,O27=Data!$E$21,O27=Data!$E$20,O27=Data!$E$19,O27=Data!$E$18,O27=Data!$E$4)," ","?")</f>
        <v>?</v>
      </c>
      <c r="AH137" s="231" t="str">
        <f>IF(OR(O28=Data!$E$7,O28=Data!$E$5,O28=Data!$E$6,O28=Data!$E$8,O28=Data!$E$9,O28=Data!$E$10,O28=Data!$E$11,O28=Data!$E$21,O28=Data!$E$20,O28=Data!$E$19,O28=Data!$E$18,O28=Data!$E$4)," ","?")</f>
        <v>?</v>
      </c>
      <c r="AI137" s="231" t="str">
        <f>IF(OR(O29=Data!$E$7,O29=Data!$E$5,O29=Data!$E$6,O29=Data!$E$8,O29=Data!$E$9,O29=Data!$E$10,O29=Data!$E$11,O29=Data!$E$21,O29=Data!$E$20,O29=Data!$E$19,O29=Data!$E$18,O29=Data!$E$4)," ","?")</f>
        <v>?</v>
      </c>
      <c r="AJ137" s="231" t="str">
        <f>IF(OR(O30=Data!$E$7,O30=Data!$E$5,O30=Data!$E$6,O30=Data!$E$8,O30=Data!$E$9,O30=Data!$E$10,O30=Data!$E$11,O30=Data!$E$21,O30=Data!$E$20,O30=Data!$E$19,O30=Data!$E$18,O30=Data!$E$4)," ","?")</f>
        <v>?</v>
      </c>
      <c r="AK137" s="231" t="str">
        <f>IF(OR(O31=Data!$E$7,O31=Data!$E$5,O31=Data!$E$6,O31=Data!$E$8,O31=Data!$E$9,O31=Data!$E$10,O31=Data!$E$11,O31=Data!$E$21,O31=Data!$E$20,O31=Data!$E$19,O31=Data!$E$18,O31=Data!$E$4)," ","?")</f>
        <v>?</v>
      </c>
      <c r="AL137" s="231" t="str">
        <f>IF(OR(O32=Data!$E$7,O32=Data!$E$5,O32=Data!$E$6,O32=Data!$E$8,O32=Data!$E$9,O32=Data!$E$10,O32=Data!$E$11,O32=Data!$E$21,O32=Data!$E$20,O32=Data!$E$19,O32=Data!$E$18,O32=Data!$E$4)," ","?")</f>
        <v>?</v>
      </c>
      <c r="AM137" s="231" t="str">
        <f>IF(OR(O33=Data!$E$7,O33=Data!$E$5,O33=Data!$E$6,O33=Data!$E$8,O33=Data!$E$9,O33=Data!$E$10,O33=Data!$E$11,O33=Data!$E$21,O33=Data!$E$20,O33=Data!$E$19,O33=Data!$E$18,O33=Data!$E$4)," ","?")</f>
        <v>?</v>
      </c>
      <c r="AN137" s="231" t="str">
        <f>IF(OR(O33=Data!$E$7,O33=Data!$E$5,O33=Data!$E$6,O33=Data!$E$8,O33=Data!$E$9,O33=Data!$E$10,O33=Data!$E$11,O33=Data!$E$21,O33=Data!$E$20,O33=Data!$E$19,O33=Data!$E$18,O33=Data!$E$4)," ","?")</f>
        <v>?</v>
      </c>
      <c r="AO137" s="231" t="str">
        <f>IF(OR(O35=Data!$E$7,O35=Data!$E$5,O35=Data!$E$6,O35=Data!$E$8,O35=Data!$E$9,O35=Data!$E$10,O35=Data!$E$11,O35=Data!$E$21,O35=Data!$E$20,O35=Data!$E$19,O35=Data!$E$18,O35=Data!$E$4)," ","?")</f>
        <v>?</v>
      </c>
      <c r="AP137" s="231" t="str">
        <f>IF(OR(O36=Data!$E$7,O36=Data!$E$5,O36=Data!$E$6,O36=Data!$E$8,O36=Data!$E$9,O36=Data!$E$10,O36=Data!$E$11,O36=Data!$E$21,O36=Data!$E$20,O36=Data!$E$19,O36=Data!$E$18,O36=Data!$E$4)," ","?")</f>
        <v>?</v>
      </c>
      <c r="AQ137" s="231" t="str">
        <f>IF(OR(O37=Data!$E$7,O37=Data!$E$5,O37=Data!$E$6,O37=Data!$E$8,O37=Data!$E$9,O37=Data!$E$10,O37=Data!$E$11,O37=Data!$E$21,O37=Data!$E$20,O37=Data!$E$19,O37=Data!$E$18,O37=Data!$E$4)," ","?")</f>
        <v>?</v>
      </c>
      <c r="AR137" s="231" t="str">
        <f>IF(OR(O38=Data!$E$7,O38=Data!$E$5,O38=Data!$E$6,O38=Data!$E$8,O38=Data!$E$9,O38=Data!$E$10,O38=Data!$E$11,O38=Data!$E$21,O38=Data!$E$20,O38=Data!$E$19,O38=Data!$E$18,O38=Data!$E$4)," ","?")</f>
        <v>?</v>
      </c>
      <c r="AS137" s="231" t="str">
        <f>IF(OR(O39=Data!$E$7,O39=Data!$E$5,O39=Data!$E$6,O39=Data!$E$8,O39=Data!$E$9,O39=Data!$E$10,O39=Data!$E$11,O39=Data!$E$21,O39=Data!$E$20,O39=Data!$E$19,O39=Data!$E$18,O39=Data!$E$4)," ","?")</f>
        <v>?</v>
      </c>
      <c r="AT137" s="231" t="str">
        <f>IF(OR(O40=Data!$E$7,O40=Data!$E$5,O40=Data!$E$6,O40=Data!$E$8,O40=Data!$E$9,O40=Data!$E$10,O40=Data!$E$11,O40=Data!$E$21,O40=Data!$E$20,O40=Data!$E$19,O40=Data!$E$18,O40=Data!$E$4)," ","?")</f>
        <v>?</v>
      </c>
      <c r="AU137" s="231" t="str">
        <f>IF(OR(O41=Data!$E$7,O41=Data!$E$5,O41=Data!$E$6,O41=Data!$E$8,O41=Data!$E$9,O41=Data!$E$10,O41=Data!$E$11,O41=Data!$E$21,O41=Data!$E$20,O41=Data!$E$19,O41=Data!$E$18,O41=Data!$E$4)," ","?")</f>
        <v>?</v>
      </c>
      <c r="AV137" s="231" t="str">
        <f>IF(OR(O42=Data!$E$7,O42=Data!$E$5,O42=Data!$E$6,O42=Data!$E$8,O42=Data!$E$9,O42=Data!$E$10,O42=Data!$E$11,O42=Data!$E$21,O42=Data!$E$20,O42=Data!$E$19,O42=Data!$E$18,O42=Data!$E$4)," ","?")</f>
        <v>?</v>
      </c>
      <c r="AW137" s="231" t="str">
        <f>IF(OR(O43=Data!$E$7,O43=Data!$E$5,O43=Data!$E$6,O43=Data!$E$8,O43=Data!$E$9,O43=Data!$E$10,O43=Data!$E$11,O43=Data!$E$21,O43=Data!$E$20,O43=Data!$E$19,O43=Data!$E$18,O43=Data!$E$4)," ","?")</f>
        <v>?</v>
      </c>
      <c r="AX137" s="231" t="str">
        <f>IF(OR(O44=Data!$E$7,O44=Data!$E$5,O44=Data!$E$6,O44=Data!$E$8,O44=Data!$E$9,O44=Data!$E$10,O44=Data!$E$11,O44=Data!$E$21,O44=Data!$E$20,O44=Data!$E$19,O44=Data!$E$18,O44=Data!$E$4)," ","?")</f>
        <v>?</v>
      </c>
      <c r="AY137" s="231" t="str">
        <f>IF(OR(O45=Data!$E$7,O45=Data!$E$5,O45=Data!$E$6,O45=Data!$E$8,O45=Data!$E$9,O45=Data!$E$10,O45=Data!$E$11,O45=Data!$E$21,O45=Data!$E$20,O45=Data!$E$19,O45=Data!$E$18,O45=Data!$E$4)," ","?")</f>
        <v>?</v>
      </c>
      <c r="AZ137" s="231" t="str">
        <f>IF(OR(O46=Data!$E$7,O46=Data!$E$5,O46=Data!$E$6,O46=Data!$E$8,O46=Data!$E$9,O46=Data!$E$10,O46=Data!$E$11,O46=Data!$E$21,O46=Data!$E$20,O46=Data!$E$19,O46=Data!$E$18,O46=Data!$E$4)," ","?")</f>
        <v>?</v>
      </c>
      <c r="BA137" s="231" t="str">
        <f>IF(OR(O47=Data!$E$7,O47=Data!$E$5,O47=Data!$E$6,O47=Data!$E$8,O47=Data!$E$9,O47=Data!$E$10,O47=Data!$E$11,O47=Data!$E$21,O47=Data!$E$20,O47=Data!$E$19,O47=Data!$E$18,O47=Data!$E$4)," ","?")</f>
        <v>?</v>
      </c>
      <c r="BR137" s="138"/>
      <c r="CF137" s="135"/>
    </row>
    <row r="138" spans="1:84" ht="37.5" customHeight="1" x14ac:dyDescent="0.3">
      <c r="A138" s="196"/>
      <c r="B138" s="196"/>
      <c r="C138" s="220">
        <v>12</v>
      </c>
      <c r="D138" s="433" t="s">
        <v>742</v>
      </c>
      <c r="E138" s="402"/>
      <c r="F138" s="402"/>
      <c r="G138" s="402"/>
      <c r="H138" s="402"/>
      <c r="I138" s="402"/>
      <c r="J138" s="402"/>
      <c r="K138" s="402"/>
      <c r="L138" s="402"/>
      <c r="M138" s="402"/>
      <c r="N138" s="402"/>
      <c r="O138" s="402"/>
      <c r="P138" s="139"/>
      <c r="Q138" s="235" t="s">
        <v>10</v>
      </c>
      <c r="S138" s="400" t="s">
        <v>463</v>
      </c>
      <c r="T138" s="400"/>
      <c r="U138" s="400"/>
      <c r="X138" s="231" t="str">
        <f>IF(OR(O18=Data!$E$7,O18=Data!$E$5,O18=Data!$E$6,O18=Data!$E$8,O18=Data!$E$9,O18=Data!$E$10,O18=Data!$E$11,O18=Data!$E$21,O18=Data!$E$20,O18=Data!$E$19,O18=Data!$E$18,O18=Data!$E$4)," ","?")</f>
        <v>?</v>
      </c>
      <c r="Y138" s="231" t="str">
        <f>IF(OR(O19=Data!$E$7,O19=Data!$E$5,O19=Data!$E$6,O19=Data!$E$8,O19=Data!$E$9,O19=Data!$E$10,O19=Data!$E$11,O19=Data!$E$21,O19=Data!$E$20,O19=Data!$E$19,O19=Data!$E$18,O19=Data!$E$4)," ","?")</f>
        <v>?</v>
      </c>
      <c r="Z138" s="231" t="str">
        <f>IF(OR(O20=Data!$E$7,O20=Data!$E$5,O20=Data!$E$6,O20=Data!$E$8,O20=Data!$E$9,O20=Data!$E$10,O20=Data!$E$11,O20=Data!$E$21,O20=Data!$E$20,O20=Data!$E$19,O20=Data!$E$18,O20=Data!$E$4)," ","?")</f>
        <v>?</v>
      </c>
      <c r="AA138" s="231" t="str">
        <f>IF(OR(O21=Data!$E$7,O21=Data!$E$5,O21=Data!$E$6,O21=Data!$E$8,O21=Data!$E$9,O21=Data!$E$10,O21=Data!$E$11,O21=Data!$E$21,O21=Data!$E$20,O21=Data!$E$19,O21=Data!$E$18,O21=Data!$E$4)," ","?")</f>
        <v>?</v>
      </c>
      <c r="AB138" s="231" t="str">
        <f>IF(OR(O22=Data!$E$7,O22=Data!$E$5,O22=Data!$E$6,O22=Data!$E$8,O22=Data!$E$9,O22=Data!$E$10,O22=Data!$E$11,O22=Data!$E$21,O22=Data!$E$20,O22=Data!$E$19,O22=Data!$E$18,O22=Data!$E$4)," ","?")</f>
        <v>?</v>
      </c>
      <c r="AC138" s="231" t="str">
        <f>IF(OR(O23=Data!$E$7,O23=Data!$E$5,O23=Data!$E$6,O23=Data!$E$8,O23=Data!$E$9,O23=Data!$E$10,O23=Data!$E$11,O23=Data!$E$21,O23=Data!$E$20,O23=Data!$E$19,O23=Data!$E$18,O23=Data!$E$4)," ","?")</f>
        <v>?</v>
      </c>
      <c r="AD138" s="231" t="str">
        <f>IF(OR(O24=Data!$E$7,O24=Data!$E$5,O24=Data!$E$6,O24=Data!$E$8,O24=Data!$E$9,O24=Data!$E$10,O24=Data!$E$11,O24=Data!$E$21,O24=Data!$E$20,O24=Data!$E$19,O24=Data!$E$18,O24=Data!$E$4)," ","?")</f>
        <v>?</v>
      </c>
      <c r="AE138" s="231" t="str">
        <f>IF(OR(O25=Data!$E$7,O25=Data!$E$5,O25=Data!$E$6,O25=Data!$E$8,O25=Data!$E$9,O25=Data!$E$10,O25=Data!$E$11,O25=Data!$E$21,O25=Data!$E$20,O25=Data!$E$19,O25=Data!$E$18,O25=Data!$E$4)," ","?")</f>
        <v>?</v>
      </c>
      <c r="AF138" s="231" t="str">
        <f>IF(OR(O26=Data!$E$7,O26=Data!$E$5,O26=Data!$E$6,O26=Data!$E$8,O26=Data!$E$9,O26=Data!$E$10,O26=Data!$E$11,O26=Data!$E$21,O26=Data!$E$20,O26=Data!$E$19,O26=Data!$E$18,O26=Data!$E$4)," ","?")</f>
        <v>?</v>
      </c>
      <c r="AG138" s="231" t="str">
        <f>IF(OR(O27=Data!$E$7,O27=Data!$E$5,O27=Data!$E$6,O27=Data!$E$8,O27=Data!$E$9,O27=Data!$E$10,O27=Data!$E$11,O27=Data!$E$21,O27=Data!$E$20,O27=Data!$E$19,O27=Data!$E$18,O27=Data!$E$4)," ","?")</f>
        <v>?</v>
      </c>
      <c r="AH138" s="231" t="str">
        <f>IF(OR(O28=Data!$E$7,O28=Data!$E$5,O28=Data!$E$6,O28=Data!$E$8,O28=Data!$E$9,O28=Data!$E$10,O28=Data!$E$11,O28=Data!$E$21,O28=Data!$E$20,O28=Data!$E$19,O28=Data!$E$18,O28=Data!$E$4)," ","?")</f>
        <v>?</v>
      </c>
      <c r="AI138" s="231" t="str">
        <f>IF(OR(O29=Data!$E$7,O29=Data!$E$5,O29=Data!$E$6,O29=Data!$E$8,O29=Data!$E$9,O29=Data!$E$10,O29=Data!$E$11,O29=Data!$E$21,O29=Data!$E$20,O29=Data!$E$19,O29=Data!$E$18,O29=Data!$E$4)," ","?")</f>
        <v>?</v>
      </c>
      <c r="AJ138" s="231" t="str">
        <f>IF(OR(O30=Data!$E$7,O30=Data!$E$5,O30=Data!$E$6,O30=Data!$E$8,O30=Data!$E$9,O30=Data!$E$10,O30=Data!$E$11,O30=Data!$E$21,O30=Data!$E$20,O30=Data!$E$19,O30=Data!$E$18,O30=Data!$E$4)," ","?")</f>
        <v>?</v>
      </c>
      <c r="AK138" s="231" t="str">
        <f>IF(OR(O31=Data!$E$7,O31=Data!$E$5,O31=Data!$E$6,O31=Data!$E$8,O31=Data!$E$9,O31=Data!$E$10,O31=Data!$E$11,O31=Data!$E$21,O31=Data!$E$20,O31=Data!$E$19,O31=Data!$E$18,O31=Data!$E$4)," ","?")</f>
        <v>?</v>
      </c>
      <c r="AL138" s="231" t="str">
        <f>IF(OR(O32=Data!$E$7,O32=Data!$E$5,O32=Data!$E$6,O32=Data!$E$8,O32=Data!$E$9,O32=Data!$E$10,O32=Data!$E$11,O32=Data!$E$21,O32=Data!$E$20,O32=Data!$E$19,O32=Data!$E$18,O32=Data!$E$4)," ","?")</f>
        <v>?</v>
      </c>
      <c r="AM138" s="231" t="str">
        <f>IF(OR(O33=Data!$E$7,O33=Data!$E$5,O33=Data!$E$6,O33=Data!$E$8,O33=Data!$E$9,O33=Data!$E$10,O33=Data!$E$11,O33=Data!$E$21,O33=Data!$E$20,O33=Data!$E$19,O33=Data!$E$18,O33=Data!$E$4)," ","?")</f>
        <v>?</v>
      </c>
      <c r="AN138" s="231" t="str">
        <f>IF(OR(O34=Data!$E$7,O34=Data!$E$5,O34=Data!$E$6,O34=Data!$E$8,O34=Data!$E$9,O34=Data!$E$10,O34=Data!$E$11,O34=Data!$E$21,O34=Data!$E$20,O34=Data!$E$19,O34=Data!$E$18,O34=Data!$E$4)," ","?")</f>
        <v>?</v>
      </c>
      <c r="AO138" s="231" t="str">
        <f>IF(OR(O35=Data!$E$7,O35=Data!$E$5,O35=Data!$E$6,O35=Data!$E$8,O35=Data!$E$9,O35=Data!$E$10,O35=Data!$E$11,O35=Data!$E$21,O35=Data!$E$20,O35=Data!$E$19,O35=Data!$E$18,O35=Data!$E$4)," ","?")</f>
        <v>?</v>
      </c>
      <c r="AP138" s="231" t="str">
        <f>IF(OR(O36=Data!$E$7,O36=Data!$E$5,O36=Data!$E$6,O36=Data!$E$8,O36=Data!$E$9,O36=Data!$E$10,O36=Data!$E$11,O36=Data!$E$21,O36=Data!$E$20,O36=Data!$E$19,O36=Data!$E$18,O36=Data!$E$4)," ","?")</f>
        <v>?</v>
      </c>
      <c r="AQ138" s="231" t="str">
        <f>IF(OR(O37=Data!$E$7,O37=Data!$E$5,O37=Data!$E$6,O37=Data!$E$8,O37=Data!$E$9,O37=Data!$E$10,O37=Data!$E$11,O37=Data!$E$21,O37=Data!$E$20,O37=Data!$E$19,O37=Data!$E$18,O37=Data!$E$4)," ","?")</f>
        <v>?</v>
      </c>
      <c r="AR138" s="231" t="str">
        <f>IF(OR(O38=Data!$E$7,O38=Data!$E$5,O38=Data!$E$6,O38=Data!$E$8,O38=Data!$E$9,O38=Data!$E$10,O38=Data!$E$11,O38=Data!$E$21,O38=Data!$E$20,O38=Data!$E$19,O38=Data!$E$18,O38=Data!$E$4)," ","?")</f>
        <v>?</v>
      </c>
      <c r="AS138" s="231" t="str">
        <f>IF(OR(O39=Data!$E$7,O39=Data!$E$5,O39=Data!$E$6,O39=Data!$E$8,O39=Data!$E$9,O39=Data!$E$10,O39=Data!$E$11,O39=Data!$E$21,O39=Data!$E$20,O39=Data!$E$19,O39=Data!$E$18,O39=Data!$E$4)," ","?")</f>
        <v>?</v>
      </c>
      <c r="AT138" s="231" t="str">
        <f>IF(OR(O40=Data!$E$7,O40=Data!$E$5,O40=Data!$E$6,O40=Data!$E$8,O40=Data!$E$9,O40=Data!$E$10,O40=Data!$E$11,O40=Data!$E$21,O40=Data!$E$20,O40=Data!$E$19,O40=Data!$E$18,O40=Data!$E$4)," ","?")</f>
        <v>?</v>
      </c>
      <c r="AU138" s="231" t="str">
        <f>IF(OR(O41=Data!$E$7,O41=Data!$E$5,O41=Data!$E$6,O41=Data!$E$8,O41=Data!$E$9,O41=Data!$E$10,O41=Data!$E$11,O41=Data!$E$21,O41=Data!$E$20,O41=Data!$E$19,O41=Data!$E$18,O41=Data!$E$4)," ","?")</f>
        <v>?</v>
      </c>
      <c r="AV138" s="231" t="str">
        <f>IF(OR(O42=Data!$E$7,O42=Data!$E$5,O42=Data!$E$6,O42=Data!$E$8,O42=Data!$E$9,O42=Data!$E$10,O42=Data!$E$11,O42=Data!$E$21,O42=Data!$E$20,O42=Data!$E$19,O42=Data!$E$18,O42=Data!$E$4)," ","?")</f>
        <v>?</v>
      </c>
      <c r="AW138" s="231" t="str">
        <f>IF(OR(O43=Data!$E$7,O43=Data!$E$5,O43=Data!$E$6,O43=Data!$E$8,O43=Data!$E$9,O43=Data!$E$10,O43=Data!$E$11,O43=Data!$E$21,O43=Data!$E$20,O43=Data!$E$19,O43=Data!$E$18,O43=Data!$E$4)," ","?")</f>
        <v>?</v>
      </c>
      <c r="AX138" s="231" t="str">
        <f>IF(OR(O44=Data!$E$7,O44=Data!$E$5,O44=Data!$E$6,O44=Data!$E$8,O44=Data!$E$9,O44=Data!$E$10,O44=Data!$E$11,O44=Data!$E$21,O44=Data!$E$20,O44=Data!$E$19,O44=Data!$E$18,O44=Data!$E$4)," ","?")</f>
        <v>?</v>
      </c>
      <c r="AY138" s="231" t="str">
        <f>IF(OR(O45=Data!$E$7,O45=Data!$E$5,O45=Data!$E$6,O45=Data!$E$8,O45=Data!$E$9,O45=Data!$E$10,O45=Data!$E$11,O45=Data!$E$21,O45=Data!$E$20,O45=Data!$E$19,O45=Data!$E$18,O45=Data!$E$4)," ","?")</f>
        <v>?</v>
      </c>
      <c r="AZ138" s="231" t="str">
        <f>IF(OR(O46=Data!$E$7,O46=Data!$E$5,O46=Data!$E$6,O46=Data!$E$8,O46=Data!$E$9,O46=Data!$E$10,O46=Data!$E$11,O46=Data!$E$21,O46=Data!$E$20,O46=Data!$E$19,O46=Data!$E$18,O46=Data!$E$4)," ","?")</f>
        <v>?</v>
      </c>
      <c r="BA138" s="231" t="str">
        <f>IF(OR(O47=Data!$E$7,O47=Data!$E$5,O47=Data!$E$6,O47=Data!$E$8,O47=Data!$E$9,O47=Data!$E$10,O47=Data!$E$11,O47=Data!$E$21,O47=Data!$E$20,O47=Data!$E$19,O47=Data!$E$18,O47=Data!$E$4)," ","?")</f>
        <v>?</v>
      </c>
      <c r="BR138" s="138"/>
      <c r="CF138" s="135"/>
    </row>
    <row r="139" spans="1:84" ht="37.5" customHeight="1" x14ac:dyDescent="0.3">
      <c r="A139" s="196"/>
      <c r="B139" s="196"/>
      <c r="C139" s="220">
        <v>13</v>
      </c>
      <c r="D139" s="433" t="s">
        <v>743</v>
      </c>
      <c r="E139" s="402"/>
      <c r="F139" s="402"/>
      <c r="G139" s="402"/>
      <c r="H139" s="402"/>
      <c r="I139" s="402"/>
      <c r="J139" s="402"/>
      <c r="K139" s="402"/>
      <c r="L139" s="402"/>
      <c r="M139" s="402"/>
      <c r="N139" s="402"/>
      <c r="O139" s="402"/>
      <c r="P139" s="139"/>
      <c r="Q139" s="235" t="s">
        <v>10</v>
      </c>
      <c r="S139" s="400" t="s">
        <v>463</v>
      </c>
      <c r="T139" s="400"/>
      <c r="U139" s="400"/>
      <c r="X139" s="231" t="str">
        <f>IF(OR(O18=Data!$E$21)," ","?")</f>
        <v>?</v>
      </c>
      <c r="Y139" s="231" t="str">
        <f>IF(OR(O19=Data!$E$21)," ","?")</f>
        <v>?</v>
      </c>
      <c r="Z139" s="231" t="str">
        <f>IF(OR(O20=Data!$E$21)," ","?")</f>
        <v>?</v>
      </c>
      <c r="AA139" s="231" t="str">
        <f>IF(OR(O21=Data!$E$21)," ","?")</f>
        <v>?</v>
      </c>
      <c r="AB139" s="231" t="str">
        <f>IF(OR(O22=Data!$E$21)," ","?")</f>
        <v>?</v>
      </c>
      <c r="AC139" s="231" t="str">
        <f>IF(OR(O23=Data!$E$21)," ","?")</f>
        <v>?</v>
      </c>
      <c r="AD139" s="231" t="str">
        <f>IF(OR(O24=Data!$E$21)," ","?")</f>
        <v>?</v>
      </c>
      <c r="AE139" s="231" t="str">
        <f>IF(OR(O25=Data!$E$21)," ","?")</f>
        <v>?</v>
      </c>
      <c r="AF139" s="231" t="str">
        <f>IF(OR(O26=Data!$E$21)," ","?")</f>
        <v>?</v>
      </c>
      <c r="AG139" s="231" t="str">
        <f>IF(OR(O27=Data!$E$21)," ","?")</f>
        <v>?</v>
      </c>
      <c r="AH139" s="231" t="str">
        <f>IF(OR(O28=Data!$E$21)," ","?")</f>
        <v>?</v>
      </c>
      <c r="AI139" s="231" t="str">
        <f>IF(OR(O29=Data!$E$21)," ","?")</f>
        <v>?</v>
      </c>
      <c r="AJ139" s="231" t="str">
        <f>IF(OR(O30=Data!$E$21)," ","?")</f>
        <v>?</v>
      </c>
      <c r="AK139" s="231" t="str">
        <f>IF(OR(O31=Data!$E$21)," ","?")</f>
        <v>?</v>
      </c>
      <c r="AL139" s="231" t="str">
        <f>IF(OR(O32=Data!$E$21)," ","?")</f>
        <v>?</v>
      </c>
      <c r="AM139" s="231" t="str">
        <f>IF(OR(O33=Data!$E$21)," ","?")</f>
        <v>?</v>
      </c>
      <c r="AN139" s="231" t="str">
        <f>IF(OR(O34=Data!$E$21)," ","?")</f>
        <v>?</v>
      </c>
      <c r="AO139" s="231" t="str">
        <f>IF(OR(O35=Data!$E$21)," ","?")</f>
        <v>?</v>
      </c>
      <c r="AP139" s="231" t="str">
        <f>IF(OR(O36=Data!$E$21)," ","?")</f>
        <v>?</v>
      </c>
      <c r="AQ139" s="231" t="str">
        <f>IF(OR(O37=Data!$E$21)," ","?")</f>
        <v>?</v>
      </c>
      <c r="AR139" s="231" t="str">
        <f>IF(OR(O38=Data!$E$21)," ","?")</f>
        <v>?</v>
      </c>
      <c r="AS139" s="231" t="str">
        <f>IF(OR(O39=Data!$E$21)," ","?")</f>
        <v>?</v>
      </c>
      <c r="AT139" s="231" t="str">
        <f>IF(OR(O40=Data!$E$21)," ","?")</f>
        <v>?</v>
      </c>
      <c r="AU139" s="231" t="str">
        <f>IF(OR(O41=Data!$E$21)," ","?")</f>
        <v>?</v>
      </c>
      <c r="AV139" s="231" t="str">
        <f>IF(OR(O42=Data!$E$21)," ","?")</f>
        <v>?</v>
      </c>
      <c r="AW139" s="231" t="str">
        <f>IF(OR(O43=Data!$E$21)," ","?")</f>
        <v>?</v>
      </c>
      <c r="AX139" s="231" t="str">
        <f>IF(OR(O44=Data!$E$21)," ","?")</f>
        <v>?</v>
      </c>
      <c r="AY139" s="231" t="str">
        <f>IF(OR(O45=Data!$E$21)," ","?")</f>
        <v>?</v>
      </c>
      <c r="AZ139" s="231" t="str">
        <f>IF(OR(O46=Data!$E$21)," ","?")</f>
        <v>?</v>
      </c>
      <c r="BA139" s="231" t="str">
        <f>IF(OR(O47=Data!$E$21)," ","?")</f>
        <v>?</v>
      </c>
      <c r="BR139" s="138"/>
      <c r="CF139" s="135"/>
    </row>
    <row r="140" spans="1:84" ht="37.5" customHeight="1" x14ac:dyDescent="0.3">
      <c r="A140" s="196"/>
      <c r="B140" s="196"/>
      <c r="C140" s="220">
        <v>14</v>
      </c>
      <c r="D140" s="401" t="s">
        <v>744</v>
      </c>
      <c r="E140" s="402"/>
      <c r="F140" s="402"/>
      <c r="G140" s="402"/>
      <c r="H140" s="402"/>
      <c r="I140" s="402"/>
      <c r="J140" s="402"/>
      <c r="K140" s="402"/>
      <c r="L140" s="402"/>
      <c r="M140" s="402"/>
      <c r="N140" s="402"/>
      <c r="O140" s="402"/>
      <c r="P140" s="139"/>
      <c r="Q140" s="235" t="s">
        <v>10</v>
      </c>
      <c r="S140" s="400" t="s">
        <v>463</v>
      </c>
      <c r="T140" s="400"/>
      <c r="U140" s="400"/>
      <c r="X140" s="231" t="str">
        <f>IF(OR(O18=Data!$E$7,O18=Data!$E$5,O18=Data!$E$6,O18=Data!$E$8,O18=Data!$E$21,O18=Data!$E$20,O18=Data!$E$19,O18=Data!$E$18,O18=Data!$E$4)," ","?")</f>
        <v>?</v>
      </c>
      <c r="Y140" s="231" t="str">
        <f>IF(OR(O19=Data!$E$7,O19=Data!$E$5,O19=Data!$E$6,O19=Data!$E$8,O19=Data!$E$21,O19=Data!$E$20,O19=Data!$E$19,O19=Data!$E$18,O19=Data!$E$4)," ","?")</f>
        <v>?</v>
      </c>
      <c r="Z140" s="231" t="str">
        <f>IF(OR(O20=Data!$E$7,O20=Data!$E$5,O20=Data!$E$6,O20=Data!$E$8,O20=Data!$E$21,O20=Data!$E$20,O20=Data!$E$19,O20=Data!$E$18,O20=Data!$E$4)," ","?")</f>
        <v>?</v>
      </c>
      <c r="AA140" s="231" t="str">
        <f>IF(OR(O21=Data!$E$7,O21=Data!$E$5,O21=Data!$E$6,O21=Data!$E$8,O21=Data!$E$21,O21=Data!$E$20,O21=Data!$E$19,O21=Data!$E$18,O21=Data!$E$4)," ","?")</f>
        <v>?</v>
      </c>
      <c r="AB140" s="231" t="str">
        <f>IF(OR(O22=Data!$E$7,O22=Data!$E$5,O22=Data!$E$6,O22=Data!$E$8,O22=Data!$E$21,O22=Data!$E$20,O22=Data!$E$19,O22=Data!$E$18,O22=Data!$E$4)," ","?")</f>
        <v>?</v>
      </c>
      <c r="AC140" s="231" t="str">
        <f>IF(OR(O23=Data!$E$7,O23=Data!$E$5,O23=Data!$E$6,O23=Data!$E$8,O23=Data!$E$21,O23=Data!$E$20,O23=Data!$E$19,O23=Data!$E$18,O23=Data!$E$4)," ","?")</f>
        <v>?</v>
      </c>
      <c r="AD140" s="231" t="str">
        <f>IF(OR(O24=Data!$E$7,O24=Data!$E$5,O24=Data!$E$6,O24=Data!$E$8,O24=Data!$E$21,O24=Data!$E$20,O24=Data!$E$19,O24=Data!$E$18,O24=Data!$E$4)," ","?")</f>
        <v>?</v>
      </c>
      <c r="AE140" s="231" t="str">
        <f>IF(OR(O25=Data!$E$7,O25=Data!$E$5,O25=Data!$E$6,O25=Data!$E$8,O25=Data!$E$21,O25=Data!$E$20,O25=Data!$E$19,O25=Data!$E$18,O25=Data!$E$4)," ","?")</f>
        <v>?</v>
      </c>
      <c r="AF140" s="231" t="str">
        <f>IF(OR(O26=Data!$E$7,O26=Data!$E$5,O26=Data!$E$6,O26=Data!$E$8,O26=Data!$E$21,O26=Data!$E$20,O26=Data!$E$19,O26=Data!$E$18,O26=Data!$E$4)," ","?")</f>
        <v>?</v>
      </c>
      <c r="AG140" s="231" t="str">
        <f>IF(OR(O27=Data!$E$7,O27=Data!$E$5,O27=Data!$E$6,O27=Data!$E$8,O27=Data!$E$21,O27=Data!$E$20,O27=Data!$E$19,O27=Data!$E$18,O27=Data!$E$4)," ","?")</f>
        <v>?</v>
      </c>
      <c r="AH140" s="231" t="str">
        <f>IF(OR(O28=Data!$E$7,O28=Data!$E$5,O28=Data!$E$6,O28=Data!$E$8,O28=Data!$E$21,O28=Data!$E$20,O28=Data!$E$19,O28=Data!$E$18,O28=Data!$E$4)," ","?")</f>
        <v>?</v>
      </c>
      <c r="AI140" s="231" t="str">
        <f>IF(OR(O29=Data!$E$7,O29=Data!$E$5,O29=Data!$E$6,O29=Data!$E$8,O29=Data!$E$21,O29=Data!$E$20,O29=Data!$E$19,O29=Data!$E$18,O29=Data!$E$4)," ","?")</f>
        <v>?</v>
      </c>
      <c r="AJ140" s="231" t="str">
        <f>IF(OR(O30=Data!$E$7,O30=Data!$E$5,O30=Data!$E$6,O30=Data!$E$8,O30=Data!$E$21,O30=Data!$E$20,O30=Data!$E$19,O30=Data!$E$18,O30=Data!$E$4)," ","?")</f>
        <v>?</v>
      </c>
      <c r="AK140" s="231" t="str">
        <f>IF(OR(O31=Data!$E$7,O31=Data!$E$5,O31=Data!$E$6,O31=Data!$E$8,O31=Data!$E$21,O31=Data!$E$20,O31=Data!$E$19,O31=Data!$E$18,O31=Data!$E$4)," ","?")</f>
        <v>?</v>
      </c>
      <c r="AL140" s="231" t="str">
        <f>IF(OR(O32=Data!$E$7,O32=Data!$E$5,O32=Data!$E$6,O32=Data!$E$8,O32=Data!$E$21,O32=Data!$E$20,O32=Data!$E$19,O32=Data!$E$18,O32=Data!$E$4)," ","?")</f>
        <v>?</v>
      </c>
      <c r="AM140" s="231" t="str">
        <f>IF(OR(O33=Data!$E$7,O33=Data!$E$5,O33=Data!$E$6,O33=Data!$E$8,O33=Data!$E$21,O33=Data!$E$20,O33=Data!$E$19,O33=Data!$E$18,O33=Data!$E$4)," ","?")</f>
        <v>?</v>
      </c>
      <c r="AN140" s="231" t="str">
        <f>IF(OR(O34=Data!$E$7,O34=Data!$E$5,O34=Data!$E$6,O34=Data!$E$8,O34=Data!$E$21,O34=Data!$E$20,O34=Data!$E$19,O34=Data!$E$18,O34=Data!$E$4)," ","?")</f>
        <v>?</v>
      </c>
      <c r="AO140" s="231" t="str">
        <f>IF(OR(O35=Data!$E$7,O35=Data!$E$5,O35=Data!$E$6,O35=Data!$E$8,O35=Data!$E$21,O35=Data!$E$20,O35=Data!$E$19,O35=Data!$E$18,O35=Data!$E$4)," ","?")</f>
        <v>?</v>
      </c>
      <c r="AP140" s="231" t="str">
        <f>IF(OR(O36=Data!$E$7,O36=Data!$E$5,O36=Data!$E$6,O36=Data!$E$8,O36=Data!$E$21,O36=Data!$E$20,O36=Data!$E$19,O36=Data!$E$18,O36=Data!$E$4)," ","?")</f>
        <v>?</v>
      </c>
      <c r="AQ140" s="231" t="str">
        <f>IF(OR(O37=Data!$E$7,O37=Data!$E$5,O37=Data!$E$6,O37=Data!$E$8,O37=Data!$E$21,O37=Data!$E$20,O37=Data!$E$19,O37=Data!$E$18,O37=Data!$E$4)," ","?")</f>
        <v>?</v>
      </c>
      <c r="AR140" s="231" t="str">
        <f>IF(OR(O38=Data!$E$7,O38=Data!$E$5,O38=Data!$E$6,O38=Data!$E$8,O38=Data!$E$21,O38=Data!$E$20,O38=Data!$E$19,O38=Data!$E$18,O38=Data!$E$4)," ","?")</f>
        <v>?</v>
      </c>
      <c r="AS140" s="231" t="str">
        <f>IF(OR(O39=Data!$E$7,O39=Data!$E$5,O39=Data!$E$6,O39=Data!$E$8,O39=Data!$E$21,O39=Data!$E$20,O39=Data!$E$19,O39=Data!$E$18,O39=Data!$E$4)," ","?")</f>
        <v>?</v>
      </c>
      <c r="AT140" s="231" t="str">
        <f>IF(OR(O40=Data!$E$7,O40=Data!$E$5,O40=Data!$E$6,O40=Data!$E$8,O40=Data!$E$21,O40=Data!$E$20,O40=Data!$E$19,O40=Data!$E$18,O40=Data!$E$4)," ","?")</f>
        <v>?</v>
      </c>
      <c r="AU140" s="231" t="str">
        <f>IF(OR(O41=Data!$E$7,O41=Data!$E$5,O41=Data!$E$6,O41=Data!$E$8,O41=Data!$E$21,O41=Data!$E$20,O41=Data!$E$19,O41=Data!$E$18,O41=Data!$E$4)," ","?")</f>
        <v>?</v>
      </c>
      <c r="AV140" s="231" t="str">
        <f>IF(OR(O42=Data!$E$7,O42=Data!$E$5,O42=Data!$E$6,O42=Data!$E$8,O42=Data!$E$21,O42=Data!$E$20,O42=Data!$E$19,O42=Data!$E$18,O42=Data!$E$4)," ","?")</f>
        <v>?</v>
      </c>
      <c r="AW140" s="231" t="str">
        <f>IF(OR(O43=Data!$E$7,O43=Data!$E$5,O43=Data!$E$6,O43=Data!$E$8,O43=Data!$E$21,O43=Data!$E$20,O43=Data!$E$19,O43=Data!$E$18,O43=Data!$E$4)," ","?")</f>
        <v>?</v>
      </c>
      <c r="AX140" s="231" t="str">
        <f>IF(OR(O44=Data!$E$7,O44=Data!$E$5,O44=Data!$E$6,O44=Data!$E$8,O44=Data!$E$21,O44=Data!$E$20,O44=Data!$E$19,O44=Data!$E$18,O44=Data!$E$4)," ","?")</f>
        <v>?</v>
      </c>
      <c r="AY140" s="231" t="str">
        <f>IF(OR(O45=Data!$E$7,O45=Data!$E$5,O45=Data!$E$6,O45=Data!$E$8,O45=Data!$E$21,O45=Data!$E$20,O45=Data!$E$19,O45=Data!$E$18,O45=Data!$E$4)," ","?")</f>
        <v>?</v>
      </c>
      <c r="AZ140" s="231" t="str">
        <f>IF(OR(O46=Data!$E$7,O46=Data!$E$5,O46=Data!$E$6,O46=Data!$E$8,O46=Data!$E$21,O46=Data!$E$20,O46=Data!$E$19,O46=Data!$E$18,O46=Data!$E$4)," ","?")</f>
        <v>?</v>
      </c>
      <c r="BA140" s="231" t="str">
        <f>IF(OR(O47=Data!$E$7,O47=Data!$E$5,O47=Data!$E$6,O47=Data!$E$8,O47=Data!$E$21,O47=Data!$E$20,O47=Data!$E$19,O47=Data!$E$18,O47=Data!$E$4)," ","?")</f>
        <v>?</v>
      </c>
      <c r="BR140" s="138"/>
      <c r="CF140" s="135"/>
    </row>
    <row r="141" spans="1:84" ht="37.5" customHeight="1" x14ac:dyDescent="0.3">
      <c r="A141" s="196"/>
      <c r="B141" s="196"/>
      <c r="C141" s="220">
        <v>15</v>
      </c>
      <c r="D141" s="401" t="s">
        <v>745</v>
      </c>
      <c r="E141" s="402"/>
      <c r="F141" s="402"/>
      <c r="G141" s="402"/>
      <c r="H141" s="402"/>
      <c r="I141" s="402"/>
      <c r="J141" s="402"/>
      <c r="K141" s="402"/>
      <c r="L141" s="402"/>
      <c r="M141" s="402"/>
      <c r="N141" s="402"/>
      <c r="O141" s="402"/>
      <c r="P141" s="139"/>
      <c r="Q141" s="235" t="s">
        <v>10</v>
      </c>
      <c r="S141" s="400" t="s">
        <v>463</v>
      </c>
      <c r="T141" s="400"/>
      <c r="U141" s="400"/>
      <c r="X141" s="231" t="str">
        <f>IF(OR(O18=Data!$E$21)," ","?")</f>
        <v>?</v>
      </c>
      <c r="Y141" s="231" t="str">
        <f>IF(OR(O19=Data!$E$21)," ","?")</f>
        <v>?</v>
      </c>
      <c r="Z141" s="231" t="str">
        <f>IF(OR(O20=Data!$E$21)," ","?")</f>
        <v>?</v>
      </c>
      <c r="AA141" s="231" t="str">
        <f>IF(OR(O21=Data!$E$21)," ","?")</f>
        <v>?</v>
      </c>
      <c r="AB141" s="231" t="str">
        <f>IF(OR(O22=Data!$E$21)," ","?")</f>
        <v>?</v>
      </c>
      <c r="AC141" s="231" t="str">
        <f>IF(OR(O23=Data!$E$21)," ","?")</f>
        <v>?</v>
      </c>
      <c r="AD141" s="231" t="str">
        <f>IF(OR(O24=Data!$E$21)," ","?")</f>
        <v>?</v>
      </c>
      <c r="AE141" s="231" t="str">
        <f>IF(OR(O25=Data!$E$21)," ","?")</f>
        <v>?</v>
      </c>
      <c r="AF141" s="231" t="str">
        <f>IF(OR(O26=Data!$E$21)," ","?")</f>
        <v>?</v>
      </c>
      <c r="AG141" s="231" t="str">
        <f>IF(OR(O27=Data!$E$21)," ","?")</f>
        <v>?</v>
      </c>
      <c r="AH141" s="231" t="str">
        <f>IF(OR(O28=Data!$E$21)," ","?")</f>
        <v>?</v>
      </c>
      <c r="AI141" s="231" t="str">
        <f>IF(OR(O29=Data!$E$21)," ","?")</f>
        <v>?</v>
      </c>
      <c r="AJ141" s="231" t="str">
        <f>IF(OR(O30=Data!$E$21)," ","?")</f>
        <v>?</v>
      </c>
      <c r="AK141" s="231" t="str">
        <f>IF(OR(O31=Data!$E$21)," ","?")</f>
        <v>?</v>
      </c>
      <c r="AL141" s="231" t="str">
        <f>IF(OR(O32=Data!$E$21)," ","?")</f>
        <v>?</v>
      </c>
      <c r="AM141" s="231" t="str">
        <f>IF(OR(O33=Data!$E$21)," ","?")</f>
        <v>?</v>
      </c>
      <c r="AN141" s="231" t="str">
        <f>IF(OR(O34=Data!$E$21)," ","?")</f>
        <v>?</v>
      </c>
      <c r="AO141" s="231" t="str">
        <f>IF(OR(O35=Data!$E$21)," ","?")</f>
        <v>?</v>
      </c>
      <c r="AP141" s="231" t="str">
        <f>IF(OR(O36=Data!$E$21)," ","?")</f>
        <v>?</v>
      </c>
      <c r="AQ141" s="231" t="str">
        <f>IF(OR(O37=Data!$E$21)," ","?")</f>
        <v>?</v>
      </c>
      <c r="AR141" s="231" t="str">
        <f>IF(OR(O38=Data!$E$21)," ","?")</f>
        <v>?</v>
      </c>
      <c r="AS141" s="231" t="str">
        <f>IF(OR(O39=Data!$E$21)," ","?")</f>
        <v>?</v>
      </c>
      <c r="AT141" s="231" t="str">
        <f>IF(OR(O40=Data!$E$21)," ","?")</f>
        <v>?</v>
      </c>
      <c r="AU141" s="231" t="str">
        <f>IF(OR(O41=Data!$E$21)," ","?")</f>
        <v>?</v>
      </c>
      <c r="AV141" s="231" t="str">
        <f>IF(OR(O42=Data!$E$21)," ","?")</f>
        <v>?</v>
      </c>
      <c r="AW141" s="231" t="str">
        <f>IF(OR(O43=Data!$E$21)," ","?")</f>
        <v>?</v>
      </c>
      <c r="AX141" s="231" t="str">
        <f>IF(OR(O44=Data!$E$21)," ","?")</f>
        <v>?</v>
      </c>
      <c r="AY141" s="231" t="str">
        <f>IF(OR(O45=Data!$E$21)," ","?")</f>
        <v>?</v>
      </c>
      <c r="AZ141" s="231" t="str">
        <f>IF(OR(O46=Data!$E$21)," ","?")</f>
        <v>?</v>
      </c>
      <c r="BA141" s="231" t="str">
        <f>IF(OR(O47=Data!$E$21)," ","?")</f>
        <v>?</v>
      </c>
      <c r="BR141" s="138"/>
      <c r="CF141" s="135"/>
    </row>
    <row r="142" spans="1:84" ht="60.75" customHeight="1" x14ac:dyDescent="0.3">
      <c r="A142" s="196"/>
      <c r="B142" s="196"/>
      <c r="C142" s="220">
        <v>16</v>
      </c>
      <c r="D142" s="401" t="s">
        <v>746</v>
      </c>
      <c r="E142" s="402"/>
      <c r="F142" s="402"/>
      <c r="G142" s="402"/>
      <c r="H142" s="402"/>
      <c r="I142" s="402"/>
      <c r="J142" s="402"/>
      <c r="K142" s="402"/>
      <c r="L142" s="402"/>
      <c r="M142" s="402"/>
      <c r="N142" s="402"/>
      <c r="O142" s="402"/>
      <c r="P142" s="139"/>
      <c r="Q142" s="235" t="s">
        <v>10</v>
      </c>
      <c r="S142" s="400" t="s">
        <v>463</v>
      </c>
      <c r="T142" s="400"/>
      <c r="U142" s="400"/>
      <c r="X142" s="231" t="s">
        <v>9</v>
      </c>
      <c r="Y142" s="231" t="s">
        <v>9</v>
      </c>
      <c r="Z142" s="231" t="s">
        <v>9</v>
      </c>
      <c r="AA142" s="231" t="s">
        <v>9</v>
      </c>
      <c r="AB142" s="231" t="s">
        <v>9</v>
      </c>
      <c r="AC142" s="231" t="s">
        <v>9</v>
      </c>
      <c r="AD142" s="231" t="s">
        <v>9</v>
      </c>
      <c r="AE142" s="231" t="s">
        <v>9</v>
      </c>
      <c r="AF142" s="231" t="s">
        <v>9</v>
      </c>
      <c r="AG142" s="231" t="s">
        <v>9</v>
      </c>
      <c r="AH142" s="231" t="s">
        <v>9</v>
      </c>
      <c r="AI142" s="231" t="s">
        <v>9</v>
      </c>
      <c r="AJ142" s="231" t="s">
        <v>9</v>
      </c>
      <c r="AK142" s="231" t="s">
        <v>9</v>
      </c>
      <c r="AL142" s="231" t="s">
        <v>9</v>
      </c>
      <c r="AM142" s="231" t="s">
        <v>9</v>
      </c>
      <c r="AN142" s="231" t="s">
        <v>9</v>
      </c>
      <c r="AO142" s="231" t="s">
        <v>9</v>
      </c>
      <c r="AP142" s="231" t="s">
        <v>9</v>
      </c>
      <c r="AQ142" s="231" t="s">
        <v>9</v>
      </c>
      <c r="AR142" s="231" t="s">
        <v>9</v>
      </c>
      <c r="AS142" s="231" t="s">
        <v>9</v>
      </c>
      <c r="AT142" s="231" t="s">
        <v>9</v>
      </c>
      <c r="AU142" s="231" t="s">
        <v>9</v>
      </c>
      <c r="AV142" s="231" t="s">
        <v>9</v>
      </c>
      <c r="AW142" s="231" t="s">
        <v>9</v>
      </c>
      <c r="AX142" s="231" t="s">
        <v>9</v>
      </c>
      <c r="AY142" s="231" t="s">
        <v>9</v>
      </c>
      <c r="AZ142" s="231" t="s">
        <v>9</v>
      </c>
      <c r="BA142" s="231" t="s">
        <v>9</v>
      </c>
      <c r="BR142" s="138"/>
      <c r="CF142" s="135"/>
    </row>
    <row r="143" spans="1:84" ht="18.75" customHeight="1" x14ac:dyDescent="0.35">
      <c r="A143" s="196"/>
      <c r="B143" s="196"/>
      <c r="C143" s="132"/>
      <c r="D143" s="429"/>
      <c r="E143" s="429"/>
      <c r="F143" s="429"/>
      <c r="G143" s="429"/>
      <c r="H143" s="429"/>
      <c r="I143" s="429"/>
      <c r="J143" s="232"/>
      <c r="K143" s="232"/>
      <c r="L143" s="232"/>
      <c r="M143" s="218"/>
      <c r="N143" s="218"/>
      <c r="O143" s="218"/>
      <c r="P143" s="218"/>
      <c r="Q143" s="225">
        <f>SUM(O134:O139)*4/2</f>
        <v>0</v>
      </c>
      <c r="BR143" s="138"/>
      <c r="CF143" s="135"/>
    </row>
    <row r="144" spans="1:84" ht="14.5" x14ac:dyDescent="0.35">
      <c r="A144" s="196"/>
      <c r="B144" s="196"/>
      <c r="C144" s="132"/>
      <c r="D144" s="132"/>
      <c r="E144" s="132"/>
      <c r="M144" s="218"/>
      <c r="N144" s="218"/>
      <c r="O144" s="206"/>
      <c r="P144" s="206"/>
      <c r="Q144" s="206"/>
      <c r="BR144" s="138"/>
      <c r="CF144" s="135"/>
    </row>
    <row r="145" spans="1:84" ht="14.5" x14ac:dyDescent="0.35">
      <c r="A145" s="196"/>
      <c r="B145" s="196"/>
      <c r="C145" s="132"/>
      <c r="D145" s="132"/>
      <c r="E145" s="132"/>
      <c r="M145" s="132"/>
      <c r="N145" s="132"/>
      <c r="O145" s="132"/>
      <c r="P145" s="132"/>
      <c r="Q145" s="132"/>
      <c r="BR145" s="138"/>
      <c r="CF145" s="135"/>
    </row>
    <row r="146" spans="1:84" ht="18" customHeight="1" x14ac:dyDescent="0.35">
      <c r="A146" s="196"/>
      <c r="B146" s="196"/>
      <c r="C146" s="236"/>
      <c r="D146" s="428"/>
      <c r="E146" s="428"/>
      <c r="F146" s="428"/>
      <c r="G146" s="428"/>
      <c r="H146" s="428"/>
      <c r="I146" s="428"/>
      <c r="J146" s="237"/>
      <c r="K146" s="237"/>
      <c r="L146" s="237"/>
      <c r="M146" s="238"/>
      <c r="N146" s="238"/>
      <c r="O146" s="238"/>
      <c r="P146" s="238"/>
      <c r="Q146" s="239">
        <f>SUM(Q118:Q144)</f>
        <v>0</v>
      </c>
      <c r="BR146" s="138"/>
      <c r="CF146" s="135"/>
    </row>
    <row r="147" spans="1:84" x14ac:dyDescent="0.3">
      <c r="A147" s="196"/>
      <c r="B147" s="196"/>
      <c r="C147" s="196"/>
      <c r="D147" s="240"/>
      <c r="E147" s="240"/>
      <c r="F147" s="240"/>
      <c r="BR147" s="138"/>
      <c r="CF147" s="135"/>
    </row>
    <row r="148" spans="1:84" x14ac:dyDescent="0.3">
      <c r="A148" s="196"/>
      <c r="B148" s="196"/>
      <c r="C148" s="196"/>
      <c r="D148" s="240"/>
      <c r="E148" s="240"/>
      <c r="F148" s="240"/>
      <c r="BR148" s="138"/>
      <c r="CF148" s="135"/>
    </row>
    <row r="149" spans="1:84" x14ac:dyDescent="0.3">
      <c r="A149" s="196"/>
      <c r="B149" s="196"/>
      <c r="C149" s="196"/>
      <c r="D149" s="240"/>
      <c r="E149" s="240"/>
      <c r="F149" s="240"/>
      <c r="BR149" s="138"/>
      <c r="CF149" s="135"/>
    </row>
    <row r="150" spans="1:84" x14ac:dyDescent="0.3">
      <c r="A150" s="196"/>
      <c r="B150" s="196"/>
      <c r="C150" s="196"/>
      <c r="D150" s="240"/>
      <c r="E150" s="240"/>
      <c r="F150" s="240"/>
      <c r="BR150" s="138"/>
      <c r="CF150" s="135"/>
    </row>
    <row r="151" spans="1:84" x14ac:dyDescent="0.3">
      <c r="A151" s="196"/>
      <c r="B151" s="196"/>
      <c r="C151" s="196"/>
      <c r="D151" s="240"/>
      <c r="E151" s="240"/>
      <c r="F151" s="240"/>
      <c r="BR151" s="138"/>
      <c r="CF151" s="135"/>
    </row>
    <row r="152" spans="1:84" x14ac:dyDescent="0.3">
      <c r="A152" s="196"/>
      <c r="B152" s="196"/>
      <c r="C152" s="196"/>
      <c r="D152" s="240"/>
      <c r="E152" s="240"/>
      <c r="F152" s="240"/>
      <c r="BR152" s="138"/>
      <c r="CF152" s="135"/>
    </row>
    <row r="153" spans="1:84" x14ac:dyDescent="0.3">
      <c r="A153" s="196"/>
      <c r="B153" s="196"/>
      <c r="C153" s="196"/>
      <c r="D153" s="240"/>
      <c r="E153" s="240"/>
      <c r="F153" s="240"/>
      <c r="BR153" s="138"/>
      <c r="CF153" s="135"/>
    </row>
    <row r="154" spans="1:84" x14ac:dyDescent="0.3">
      <c r="A154" s="196"/>
      <c r="B154" s="196"/>
      <c r="C154" s="196"/>
      <c r="D154" s="240"/>
      <c r="E154" s="240"/>
      <c r="F154" s="240"/>
      <c r="BR154" s="138"/>
      <c r="CF154" s="135"/>
    </row>
    <row r="155" spans="1:84" x14ac:dyDescent="0.3">
      <c r="A155" s="196"/>
      <c r="B155" s="196"/>
      <c r="C155" s="196"/>
      <c r="D155" s="240"/>
      <c r="E155" s="240"/>
      <c r="F155" s="240"/>
      <c r="BR155" s="138"/>
      <c r="CF155" s="135"/>
    </row>
    <row r="156" spans="1:84" x14ac:dyDescent="0.3">
      <c r="A156" s="196"/>
      <c r="B156" s="196"/>
      <c r="C156" s="196"/>
      <c r="D156" s="240"/>
      <c r="E156" s="240"/>
      <c r="F156" s="240"/>
      <c r="BR156" s="138"/>
      <c r="CF156" s="135"/>
    </row>
    <row r="157" spans="1:84" x14ac:dyDescent="0.3">
      <c r="A157" s="196"/>
      <c r="B157" s="196"/>
      <c r="C157" s="196"/>
      <c r="D157" s="240"/>
      <c r="E157" s="240"/>
      <c r="F157" s="240"/>
      <c r="BR157" s="138"/>
      <c r="CF157" s="135"/>
    </row>
    <row r="158" spans="1:84" x14ac:dyDescent="0.3">
      <c r="A158" s="196"/>
      <c r="B158" s="196"/>
      <c r="C158" s="196"/>
      <c r="D158" s="240"/>
      <c r="E158" s="240"/>
      <c r="F158" s="240"/>
      <c r="BR158" s="138"/>
      <c r="CF158" s="135"/>
    </row>
    <row r="159" spans="1:84" x14ac:dyDescent="0.3">
      <c r="A159" s="196"/>
      <c r="B159" s="196"/>
      <c r="C159" s="196"/>
      <c r="D159" s="240"/>
      <c r="E159" s="240"/>
      <c r="F159" s="240"/>
      <c r="BR159" s="138"/>
      <c r="CF159" s="135"/>
    </row>
    <row r="160" spans="1:84" x14ac:dyDescent="0.3">
      <c r="A160" s="196"/>
      <c r="B160" s="196"/>
      <c r="C160" s="196"/>
      <c r="D160" s="240"/>
      <c r="E160" s="240"/>
      <c r="F160" s="240"/>
      <c r="BR160" s="138"/>
      <c r="CF160" s="135"/>
    </row>
    <row r="161" spans="1:84" x14ac:dyDescent="0.3">
      <c r="A161" s="196"/>
      <c r="B161" s="196"/>
      <c r="C161" s="196"/>
      <c r="D161" s="240"/>
      <c r="E161" s="240"/>
      <c r="F161" s="240"/>
      <c r="BR161" s="138"/>
      <c r="CF161" s="135"/>
    </row>
    <row r="162" spans="1:84" x14ac:dyDescent="0.3">
      <c r="A162" s="196"/>
      <c r="B162" s="196"/>
      <c r="C162" s="196"/>
      <c r="D162" s="240"/>
      <c r="E162" s="240"/>
      <c r="F162" s="240"/>
      <c r="BR162" s="138"/>
      <c r="CF162" s="135"/>
    </row>
    <row r="163" spans="1:84" x14ac:dyDescent="0.3">
      <c r="A163" s="196"/>
      <c r="B163" s="196"/>
      <c r="C163" s="196"/>
      <c r="D163" s="240"/>
      <c r="E163" s="240"/>
      <c r="F163" s="240"/>
      <c r="BR163" s="138"/>
      <c r="CF163" s="135"/>
    </row>
    <row r="164" spans="1:84" x14ac:dyDescent="0.3">
      <c r="A164" s="196"/>
      <c r="B164" s="196"/>
      <c r="C164" s="196"/>
      <c r="D164" s="240"/>
      <c r="E164" s="240"/>
      <c r="F164" s="240"/>
      <c r="BR164" s="138"/>
      <c r="CF164" s="135"/>
    </row>
    <row r="165" spans="1:84" x14ac:dyDescent="0.3">
      <c r="A165" s="196"/>
      <c r="B165" s="196"/>
      <c r="C165" s="196"/>
      <c r="D165" s="240"/>
      <c r="E165" s="240"/>
      <c r="F165" s="240"/>
      <c r="BR165" s="138"/>
      <c r="CF165" s="135"/>
    </row>
    <row r="166" spans="1:84" x14ac:dyDescent="0.3">
      <c r="A166" s="196"/>
      <c r="B166" s="196"/>
      <c r="C166" s="196"/>
      <c r="D166" s="240"/>
      <c r="E166" s="240"/>
      <c r="F166" s="240"/>
      <c r="BR166" s="138"/>
      <c r="CF166" s="135"/>
    </row>
    <row r="167" spans="1:84" x14ac:dyDescent="0.3">
      <c r="A167" s="196"/>
      <c r="B167" s="196"/>
      <c r="C167" s="196"/>
      <c r="D167" s="240"/>
      <c r="E167" s="240"/>
      <c r="F167" s="240"/>
      <c r="BR167" s="138"/>
      <c r="CF167" s="135"/>
    </row>
    <row r="168" spans="1:84" x14ac:dyDescent="0.3">
      <c r="A168" s="196"/>
      <c r="B168" s="196"/>
      <c r="C168" s="196"/>
      <c r="D168" s="240"/>
      <c r="E168" s="240"/>
      <c r="F168" s="240"/>
      <c r="BR168" s="138"/>
      <c r="CF168" s="135"/>
    </row>
    <row r="169" spans="1:84" x14ac:dyDescent="0.3">
      <c r="A169" s="196"/>
      <c r="B169" s="196"/>
      <c r="C169" s="196"/>
      <c r="D169" s="240"/>
      <c r="E169" s="240"/>
      <c r="F169" s="240"/>
      <c r="BR169" s="138"/>
      <c r="CF169" s="135"/>
    </row>
    <row r="170" spans="1:84" x14ac:dyDescent="0.3">
      <c r="A170" s="196"/>
      <c r="B170" s="196"/>
      <c r="C170" s="196"/>
      <c r="D170" s="240"/>
      <c r="E170" s="240"/>
      <c r="F170" s="240"/>
      <c r="BR170" s="138"/>
      <c r="CF170" s="135"/>
    </row>
    <row r="171" spans="1:84" x14ac:dyDescent="0.3">
      <c r="A171" s="196"/>
      <c r="B171" s="196"/>
      <c r="C171" s="196"/>
      <c r="D171" s="240"/>
      <c r="E171" s="240"/>
      <c r="F171" s="240"/>
      <c r="BR171" s="138"/>
      <c r="CF171" s="135"/>
    </row>
    <row r="172" spans="1:84" x14ac:dyDescent="0.3">
      <c r="A172" s="196"/>
      <c r="B172" s="196"/>
      <c r="C172" s="196"/>
      <c r="D172" s="240"/>
      <c r="E172" s="240"/>
      <c r="F172" s="240"/>
      <c r="BR172" s="138"/>
      <c r="CF172" s="135"/>
    </row>
    <row r="173" spans="1:84" x14ac:dyDescent="0.3">
      <c r="A173" s="196"/>
      <c r="B173" s="196"/>
      <c r="C173" s="196"/>
      <c r="D173" s="240"/>
      <c r="E173" s="240"/>
      <c r="F173" s="240"/>
      <c r="BR173" s="138"/>
      <c r="CF173" s="135"/>
    </row>
    <row r="174" spans="1:84" x14ac:dyDescent="0.3">
      <c r="A174" s="196"/>
      <c r="B174" s="196"/>
      <c r="C174" s="196"/>
      <c r="D174" s="240"/>
      <c r="E174" s="240"/>
      <c r="F174" s="240"/>
      <c r="BR174" s="138"/>
      <c r="CF174" s="135"/>
    </row>
    <row r="175" spans="1:84" x14ac:dyDescent="0.3">
      <c r="A175" s="196"/>
      <c r="B175" s="196"/>
      <c r="C175" s="196"/>
      <c r="D175" s="240"/>
      <c r="E175" s="240"/>
      <c r="F175" s="240"/>
      <c r="BR175" s="138"/>
      <c r="CF175" s="135"/>
    </row>
    <row r="176" spans="1:84" x14ac:dyDescent="0.3">
      <c r="A176" s="196"/>
      <c r="B176" s="196"/>
      <c r="C176" s="196"/>
      <c r="D176" s="240"/>
      <c r="E176" s="240"/>
      <c r="F176" s="240"/>
      <c r="BR176" s="138"/>
      <c r="CF176" s="135"/>
    </row>
  </sheetData>
  <sheetProtection algorithmName="SHA-512" hashValue="j/xpCdw+ORnsYKMltVc8UMYJQSN4EYGakVaFD6LJrt1Igu/1NwAD+WNFL1QZlWYSMsdDW5cNJBE/ceMCNJjA+w==" saltValue="ryiLV98NKdfq2Jt7n/qxDQ==" spinCount="100000" sheet="1" objects="1" scenarios="1"/>
  <protectedRanges>
    <protectedRange sqref="CR18 CR18:CR47 CX18:CX47 O102:P105 AH102:AN105 BF102:BF106" name="ESVD"/>
    <protectedRange sqref="BL15:BN15" name="Ecological Value"/>
    <protectedRange sqref="I118:J122 S118:U122 Q127:Q129 S127:U129 Q134:Q142 S134:U142 X127:BA129 X134:BA142" name="Qualitative assessment" securityDescriptor="O:WDG:WDD:(A;;CC;;;WD)"/>
    <protectedRange sqref="G18:I47 M18:M47 O18:Q47 U18:U47 BD18:BD47 BF18:BF47 D12 G12 BL18:BL47 BN18:BN47 BL11" name="Infrastructure" securityDescriptor="O:WDG:WDD:(A;;CC;;;WD)"/>
    <protectedRange sqref="K18:K47 S18:S47" name="Fragmentation"/>
    <protectedRange sqref="O18 O102:P105 AH102:AN105 BF102:BF106" name="Tier 2 SVB"/>
  </protectedRanges>
  <dataConsolidate link="1"/>
  <mergeCells count="265">
    <mergeCell ref="O105:P105"/>
    <mergeCell ref="O101:P101"/>
    <mergeCell ref="AC57:AL57"/>
    <mergeCell ref="AM57:AV57"/>
    <mergeCell ref="CD15:CF15"/>
    <mergeCell ref="O24:Q24"/>
    <mergeCell ref="O25:Q25"/>
    <mergeCell ref="BZ16:CB16"/>
    <mergeCell ref="BV16:BX16"/>
    <mergeCell ref="J102:M102"/>
    <mergeCell ref="J103:M103"/>
    <mergeCell ref="O102:P102"/>
    <mergeCell ref="O103:P103"/>
    <mergeCell ref="CN16:CR16"/>
    <mergeCell ref="CN15:CX15"/>
    <mergeCell ref="CT16:CX16"/>
    <mergeCell ref="R12:U12"/>
    <mergeCell ref="X17:AL17"/>
    <mergeCell ref="AM17:BA17"/>
    <mergeCell ref="AC54:AV54"/>
    <mergeCell ref="AC56:AL56"/>
    <mergeCell ref="AM56:AV56"/>
    <mergeCell ref="CH15:CJ15"/>
    <mergeCell ref="CH14:CJ14"/>
    <mergeCell ref="O56:Q56"/>
    <mergeCell ref="D63:U65"/>
    <mergeCell ref="D66:U66"/>
    <mergeCell ref="D69:J72"/>
    <mergeCell ref="M69:U72"/>
    <mergeCell ref="G54:Q54"/>
    <mergeCell ref="G55:Q55"/>
    <mergeCell ref="G26:I26"/>
    <mergeCell ref="G25:I25"/>
    <mergeCell ref="Y132:Y133"/>
    <mergeCell ref="X132:X133"/>
    <mergeCell ref="X123:BA124"/>
    <mergeCell ref="X130:BA131"/>
    <mergeCell ref="AI132:AI133"/>
    <mergeCell ref="AH132:AH133"/>
    <mergeCell ref="AG132:AG133"/>
    <mergeCell ref="AF132:AF133"/>
    <mergeCell ref="AE132:AE133"/>
    <mergeCell ref="AD132:AD133"/>
    <mergeCell ref="AC132:AC133"/>
    <mergeCell ref="AB132:AB133"/>
    <mergeCell ref="AA132:AA133"/>
    <mergeCell ref="AR132:AR133"/>
    <mergeCell ref="AQ132:AQ133"/>
    <mergeCell ref="AP132:AP133"/>
    <mergeCell ref="AL132:AL133"/>
    <mergeCell ref="AK132:AK133"/>
    <mergeCell ref="AJ132:AJ133"/>
    <mergeCell ref="AS132:AS133"/>
    <mergeCell ref="AT132:AT133"/>
    <mergeCell ref="AU132:AU133"/>
    <mergeCell ref="AM125:AM126"/>
    <mergeCell ref="AN125:AN126"/>
    <mergeCell ref="S135:U135"/>
    <mergeCell ref="S136:U136"/>
    <mergeCell ref="S137:U137"/>
    <mergeCell ref="S138:U138"/>
    <mergeCell ref="S139:U139"/>
    <mergeCell ref="S140:U140"/>
    <mergeCell ref="D141:O141"/>
    <mergeCell ref="D140:O140"/>
    <mergeCell ref="D139:O139"/>
    <mergeCell ref="D138:O138"/>
    <mergeCell ref="D137:O137"/>
    <mergeCell ref="D136:O136"/>
    <mergeCell ref="D135:O135"/>
    <mergeCell ref="W132:W133"/>
    <mergeCell ref="Q131:Q132"/>
    <mergeCell ref="AY132:AY133"/>
    <mergeCell ref="AZ132:AZ133"/>
    <mergeCell ref="BA132:BA133"/>
    <mergeCell ref="AY125:AY126"/>
    <mergeCell ref="AZ125:AZ126"/>
    <mergeCell ref="BA125:BA126"/>
    <mergeCell ref="AO132:AO133"/>
    <mergeCell ref="AN132:AN133"/>
    <mergeCell ref="AM132:AM133"/>
    <mergeCell ref="AS125:AS126"/>
    <mergeCell ref="AT125:AT126"/>
    <mergeCell ref="AU125:AU126"/>
    <mergeCell ref="AV125:AV126"/>
    <mergeCell ref="AW125:AW126"/>
    <mergeCell ref="AX125:AX126"/>
    <mergeCell ref="AV132:AV133"/>
    <mergeCell ref="AW132:AW133"/>
    <mergeCell ref="AX132:AX133"/>
    <mergeCell ref="AJ125:AJ126"/>
    <mergeCell ref="AK125:AK126"/>
    <mergeCell ref="AL125:AL126"/>
    <mergeCell ref="Z132:Z133"/>
    <mergeCell ref="AO125:AO126"/>
    <mergeCell ref="AP125:AP126"/>
    <mergeCell ref="AQ125:AQ126"/>
    <mergeCell ref="AR125:AR126"/>
    <mergeCell ref="AA125:AA126"/>
    <mergeCell ref="AB125:AB126"/>
    <mergeCell ref="AC125:AC126"/>
    <mergeCell ref="AD125:AD126"/>
    <mergeCell ref="AE125:AE126"/>
    <mergeCell ref="AF125:AF126"/>
    <mergeCell ref="AG125:AG126"/>
    <mergeCell ref="AH125:AH126"/>
    <mergeCell ref="AI125:AI126"/>
    <mergeCell ref="X125:X126"/>
    <mergeCell ref="Y125:Y126"/>
    <mergeCell ref="Z125:Z126"/>
    <mergeCell ref="O32:Q32"/>
    <mergeCell ref="G46:I46"/>
    <mergeCell ref="G45:I45"/>
    <mergeCell ref="G44:I44"/>
    <mergeCell ref="G43:I43"/>
    <mergeCell ref="G42:I42"/>
    <mergeCell ref="O35:Q35"/>
    <mergeCell ref="O36:Q36"/>
    <mergeCell ref="O37:Q37"/>
    <mergeCell ref="G34:I34"/>
    <mergeCell ref="O46:Q46"/>
    <mergeCell ref="O45:Q45"/>
    <mergeCell ref="O44:Q44"/>
    <mergeCell ref="O43:Q43"/>
    <mergeCell ref="O42:Q42"/>
    <mergeCell ref="O41:Q41"/>
    <mergeCell ref="W125:W126"/>
    <mergeCell ref="O39:Q39"/>
    <mergeCell ref="J104:M104"/>
    <mergeCell ref="J105:M105"/>
    <mergeCell ref="O104:P104"/>
    <mergeCell ref="G33:I33"/>
    <mergeCell ref="G32:I32"/>
    <mergeCell ref="G24:I24"/>
    <mergeCell ref="O26:Q26"/>
    <mergeCell ref="G38:I38"/>
    <mergeCell ref="G47:I47"/>
    <mergeCell ref="O38:Q38"/>
    <mergeCell ref="G41:I41"/>
    <mergeCell ref="G40:I40"/>
    <mergeCell ref="O33:Q33"/>
    <mergeCell ref="O34:Q34"/>
    <mergeCell ref="O27:Q27"/>
    <mergeCell ref="O28:Q28"/>
    <mergeCell ref="G31:I31"/>
    <mergeCell ref="G30:I30"/>
    <mergeCell ref="G29:I29"/>
    <mergeCell ref="G28:I28"/>
    <mergeCell ref="G27:I27"/>
    <mergeCell ref="O29:Q29"/>
    <mergeCell ref="A6:BU7"/>
    <mergeCell ref="D10:G10"/>
    <mergeCell ref="G18:I18"/>
    <mergeCell ref="G19:I19"/>
    <mergeCell ref="G21:I21"/>
    <mergeCell ref="G20:I20"/>
    <mergeCell ref="BL15:BN15"/>
    <mergeCell ref="O17:Q17"/>
    <mergeCell ref="G17:I17"/>
    <mergeCell ref="O18:Q18"/>
    <mergeCell ref="O19:Q19"/>
    <mergeCell ref="O20:Q20"/>
    <mergeCell ref="O21:Q21"/>
    <mergeCell ref="G15:V15"/>
    <mergeCell ref="BD15:BF15"/>
    <mergeCell ref="G16:V16"/>
    <mergeCell ref="BD16:BF16"/>
    <mergeCell ref="BL11:BN11"/>
    <mergeCell ref="BL10:BN10"/>
    <mergeCell ref="D146:I146"/>
    <mergeCell ref="D143:I143"/>
    <mergeCell ref="D130:I130"/>
    <mergeCell ref="D131:I131"/>
    <mergeCell ref="D118:G118"/>
    <mergeCell ref="D119:G119"/>
    <mergeCell ref="M118:Q118"/>
    <mergeCell ref="M119:Q119"/>
    <mergeCell ref="S118:U118"/>
    <mergeCell ref="S119:U119"/>
    <mergeCell ref="D124:I124"/>
    <mergeCell ref="D123:I123"/>
    <mergeCell ref="I118:J118"/>
    <mergeCell ref="I119:J119"/>
    <mergeCell ref="D120:G121"/>
    <mergeCell ref="I120:I121"/>
    <mergeCell ref="D142:O142"/>
    <mergeCell ref="D134:O134"/>
    <mergeCell ref="D129:O129"/>
    <mergeCell ref="D128:O128"/>
    <mergeCell ref="D127:O127"/>
    <mergeCell ref="S142:U142"/>
    <mergeCell ref="S131:U132"/>
    <mergeCell ref="S134:U134"/>
    <mergeCell ref="S120:U120"/>
    <mergeCell ref="S121:U121"/>
    <mergeCell ref="J120:J121"/>
    <mergeCell ref="M120:Q120"/>
    <mergeCell ref="M121:Q121"/>
    <mergeCell ref="D90:U90"/>
    <mergeCell ref="D92:J92"/>
    <mergeCell ref="M92:U92"/>
    <mergeCell ref="D93:J96"/>
    <mergeCell ref="M93:U96"/>
    <mergeCell ref="A110:BU111"/>
    <mergeCell ref="B87:B97"/>
    <mergeCell ref="D87:U89"/>
    <mergeCell ref="Z105:AF105"/>
    <mergeCell ref="Z104:AF104"/>
    <mergeCell ref="Z103:AF103"/>
    <mergeCell ref="Z102:AF102"/>
    <mergeCell ref="AH105:AN105"/>
    <mergeCell ref="AH104:AN104"/>
    <mergeCell ref="AH103:AN103"/>
    <mergeCell ref="AH102:AN102"/>
    <mergeCell ref="AH101:AN101"/>
    <mergeCell ref="Z101:AF101"/>
    <mergeCell ref="J101:M101"/>
    <mergeCell ref="B63:B73"/>
    <mergeCell ref="G39:I39"/>
    <mergeCell ref="O47:Q47"/>
    <mergeCell ref="BR15:CB15"/>
    <mergeCell ref="F56:I56"/>
    <mergeCell ref="BR16:BT16"/>
    <mergeCell ref="BH15:BJ15"/>
    <mergeCell ref="BH16:BJ16"/>
    <mergeCell ref="B18:B47"/>
    <mergeCell ref="O40:Q40"/>
    <mergeCell ref="B50:B60"/>
    <mergeCell ref="O57:Q57"/>
    <mergeCell ref="G23:I23"/>
    <mergeCell ref="O23:Q23"/>
    <mergeCell ref="G22:I22"/>
    <mergeCell ref="O22:Q22"/>
    <mergeCell ref="O30:Q30"/>
    <mergeCell ref="O31:Q31"/>
    <mergeCell ref="D68:J68"/>
    <mergeCell ref="M68:U68"/>
    <mergeCell ref="G37:I37"/>
    <mergeCell ref="G36:I36"/>
    <mergeCell ref="G35:I35"/>
    <mergeCell ref="G57:I57"/>
    <mergeCell ref="B100:B107"/>
    <mergeCell ref="G99:BF99"/>
    <mergeCell ref="N12:Q12"/>
    <mergeCell ref="Q102:Q105"/>
    <mergeCell ref="AO102:AU105"/>
    <mergeCell ref="BG102:BH106"/>
    <mergeCell ref="C120:C121"/>
    <mergeCell ref="S141:U141"/>
    <mergeCell ref="D122:G122"/>
    <mergeCell ref="I122:J122"/>
    <mergeCell ref="M122:Q122"/>
    <mergeCell ref="S122:U122"/>
    <mergeCell ref="S124:U125"/>
    <mergeCell ref="Q124:Q125"/>
    <mergeCell ref="S127:U127"/>
    <mergeCell ref="S128:U128"/>
    <mergeCell ref="S129:U129"/>
    <mergeCell ref="B75:B85"/>
    <mergeCell ref="D75:U77"/>
    <mergeCell ref="D78:U78"/>
    <mergeCell ref="D80:J80"/>
    <mergeCell ref="M80:U80"/>
    <mergeCell ref="D81:J84"/>
    <mergeCell ref="M81:U84"/>
  </mergeCells>
  <conditionalFormatting sqref="M34 BD34 G34:H34">
    <cfRule type="expression" dxfId="669" priority="1277">
      <formula>$D$12&gt;=17</formula>
    </cfRule>
  </conditionalFormatting>
  <conditionalFormatting sqref="M35 BD35 G35:H35">
    <cfRule type="expression" dxfId="668" priority="740">
      <formula>$D$12&gt;=18</formula>
    </cfRule>
  </conditionalFormatting>
  <conditionalFormatting sqref="M36 BD36 G36:H36">
    <cfRule type="expression" dxfId="667" priority="1275">
      <formula>$D$12&gt;=19</formula>
    </cfRule>
  </conditionalFormatting>
  <conditionalFormatting sqref="M37 BD37 G37:H37">
    <cfRule type="expression" dxfId="666" priority="1274">
      <formula>$D$12&gt;=20</formula>
    </cfRule>
  </conditionalFormatting>
  <conditionalFormatting sqref="O34:P34 U34 BF34">
    <cfRule type="expression" dxfId="665" priority="1257">
      <formula>$G$12&gt;=17</formula>
    </cfRule>
  </conditionalFormatting>
  <conditionalFormatting sqref="O35:P35 U35 BF35">
    <cfRule type="expression" dxfId="664" priority="1256">
      <formula>$G$12&gt;=18</formula>
    </cfRule>
  </conditionalFormatting>
  <conditionalFormatting sqref="O36:P36 U36 BF36">
    <cfRule type="expression" dxfId="663" priority="1255">
      <formula>$G$12&gt;=19</formula>
    </cfRule>
  </conditionalFormatting>
  <conditionalFormatting sqref="O37:P37 U37 BF37">
    <cfRule type="expression" dxfId="662" priority="1254">
      <formula>$G$12&gt;=20</formula>
    </cfRule>
  </conditionalFormatting>
  <conditionalFormatting sqref="E18">
    <cfRule type="expression" dxfId="661" priority="1251">
      <formula>OR($D$12&gt;=1,$G$12&gt;=1)</formula>
    </cfRule>
  </conditionalFormatting>
  <conditionalFormatting sqref="E19">
    <cfRule type="expression" dxfId="660" priority="1250">
      <formula>OR($D$12&gt;=2,$G$12&gt;=2)</formula>
    </cfRule>
  </conditionalFormatting>
  <conditionalFormatting sqref="E20">
    <cfRule type="expression" dxfId="659" priority="1249">
      <formula>OR($D$12&gt;=3,$G$12&gt;=3)</formula>
    </cfRule>
  </conditionalFormatting>
  <conditionalFormatting sqref="E21">
    <cfRule type="expression" dxfId="658" priority="1248">
      <formula>OR($D$12&gt;=4,$G$12&gt;=4)</formula>
    </cfRule>
  </conditionalFormatting>
  <conditionalFormatting sqref="E22">
    <cfRule type="expression" dxfId="657" priority="1247">
      <formula>OR($D$12&gt;=5,$G$12&gt;=5)</formula>
    </cfRule>
  </conditionalFormatting>
  <conditionalFormatting sqref="E23">
    <cfRule type="expression" dxfId="656" priority="1246">
      <formula>OR($D$12&gt;=6,$G$12&gt;=6)</formula>
    </cfRule>
  </conditionalFormatting>
  <conditionalFormatting sqref="E24">
    <cfRule type="expression" dxfId="655" priority="1245">
      <formula>OR($D$12&gt;=7,$G$12&gt;=7)</formula>
    </cfRule>
  </conditionalFormatting>
  <conditionalFormatting sqref="E25">
    <cfRule type="expression" dxfId="654" priority="1244">
      <formula>OR($D$12&gt;=8,$G$12&gt;=8)</formula>
    </cfRule>
  </conditionalFormatting>
  <conditionalFormatting sqref="E26">
    <cfRule type="expression" dxfId="653" priority="1243">
      <formula>OR($D$12&gt;=9,$G$12&gt;=9)</formula>
    </cfRule>
  </conditionalFormatting>
  <conditionalFormatting sqref="E27">
    <cfRule type="expression" dxfId="652" priority="1242">
      <formula>OR($D$12&gt;=10,$G$12&gt;=10)</formula>
    </cfRule>
  </conditionalFormatting>
  <conditionalFormatting sqref="E28">
    <cfRule type="expression" dxfId="651" priority="1241">
      <formula>OR($D$12&gt;=11,$G$12&gt;=11)</formula>
    </cfRule>
  </conditionalFormatting>
  <conditionalFormatting sqref="E29">
    <cfRule type="expression" dxfId="650" priority="1240">
      <formula>OR($D$12&gt;=12,$G$12&gt;=12)</formula>
    </cfRule>
  </conditionalFormatting>
  <conditionalFormatting sqref="E30">
    <cfRule type="expression" dxfId="649" priority="1239">
      <formula>OR($D$12&gt;=13,$G$12&gt;=13)</formula>
    </cfRule>
  </conditionalFormatting>
  <conditionalFormatting sqref="E31">
    <cfRule type="expression" dxfId="648" priority="1238">
      <formula>OR($D$12&gt;=14,$G$12&gt;=14)</formula>
    </cfRule>
  </conditionalFormatting>
  <conditionalFormatting sqref="E32">
    <cfRule type="expression" dxfId="647" priority="1237">
      <formula>OR($D$12&gt;=15,$G$12&gt;=15)</formula>
    </cfRule>
  </conditionalFormatting>
  <conditionalFormatting sqref="E33">
    <cfRule type="expression" dxfId="646" priority="1236">
      <formula>OR($D$12&gt;=16,$G$12&gt;=16)</formula>
    </cfRule>
  </conditionalFormatting>
  <conditionalFormatting sqref="E34">
    <cfRule type="expression" dxfId="645" priority="1235">
      <formula>OR($D$12&gt;=17,$G$12&gt;=17)</formula>
    </cfRule>
  </conditionalFormatting>
  <conditionalFormatting sqref="E35">
    <cfRule type="expression" dxfId="644" priority="1234">
      <formula>OR($D$12&gt;=18,$G$12&gt;=18)</formula>
    </cfRule>
  </conditionalFormatting>
  <conditionalFormatting sqref="E36">
    <cfRule type="expression" dxfId="643" priority="1233">
      <formula>OR($D$12&gt;=19,$G$12&gt;=19)</formula>
    </cfRule>
  </conditionalFormatting>
  <conditionalFormatting sqref="E37">
    <cfRule type="expression" dxfId="642" priority="1232">
      <formula>OR($D$12&gt;=20,$G$12&gt;=20)</formula>
    </cfRule>
  </conditionalFormatting>
  <conditionalFormatting sqref="CH18 BH18 BR18 BV18 BZ18 CD18">
    <cfRule type="expression" dxfId="641" priority="1190">
      <formula>$D$12&gt;=1</formula>
    </cfRule>
  </conditionalFormatting>
  <conditionalFormatting sqref="BR19 BV19 CD19 BZ19 BH19 CH19">
    <cfRule type="expression" dxfId="640" priority="1189">
      <formula>$D$12&gt;=2</formula>
    </cfRule>
  </conditionalFormatting>
  <conditionalFormatting sqref="BR20 BV20 CD20 BZ20 BH20 CH20">
    <cfRule type="expression" dxfId="639" priority="1188">
      <formula>$D$12&gt;=3</formula>
    </cfRule>
  </conditionalFormatting>
  <conditionalFormatting sqref="BR21 BV21 CD21 BZ21 BH21 CH21">
    <cfRule type="expression" dxfId="638" priority="1187">
      <formula>$D$12&gt;=4</formula>
    </cfRule>
  </conditionalFormatting>
  <conditionalFormatting sqref="BR22 BV22 CD22 BZ22 BH22 CH22">
    <cfRule type="expression" dxfId="637" priority="1186">
      <formula>$D$12&gt;=5</formula>
    </cfRule>
  </conditionalFormatting>
  <conditionalFormatting sqref="BR23 BV23 CD23 BZ23 BH23 CH23">
    <cfRule type="expression" dxfId="636" priority="1185">
      <formula>$D$12&gt;=6</formula>
    </cfRule>
  </conditionalFormatting>
  <conditionalFormatting sqref="BR24 BV24 CD24 BZ24 BH24 CH24">
    <cfRule type="expression" dxfId="635" priority="1184">
      <formula>$D$12&gt;=7</formula>
    </cfRule>
  </conditionalFormatting>
  <conditionalFormatting sqref="BR25 BV25 CD25 BZ25 BH25 CH25">
    <cfRule type="expression" dxfId="634" priority="1183">
      <formula>$D$12&gt;=8</formula>
    </cfRule>
  </conditionalFormatting>
  <conditionalFormatting sqref="BR26 BV26 CD26 BZ26 BH26 CH26">
    <cfRule type="expression" dxfId="633" priority="1182">
      <formula>$D$12&gt;=9</formula>
    </cfRule>
  </conditionalFormatting>
  <conditionalFormatting sqref="BR27 BV27 CD27 BZ27 BH27 CH27">
    <cfRule type="expression" dxfId="632" priority="1181">
      <formula>$D$12&gt;=10</formula>
    </cfRule>
  </conditionalFormatting>
  <conditionalFormatting sqref="BR28 BV28 CD28 BZ28 BH28 CH28">
    <cfRule type="expression" dxfId="631" priority="1180">
      <formula>$D$12&gt;=11</formula>
    </cfRule>
  </conditionalFormatting>
  <conditionalFormatting sqref="BR29 BV29 CD29 BZ29 BH29 CH29">
    <cfRule type="expression" dxfId="630" priority="1179">
      <formula>$D$12&gt;=12</formula>
    </cfRule>
  </conditionalFormatting>
  <conditionalFormatting sqref="BR30 BV30 CD30 BZ30 BH30 CH30">
    <cfRule type="expression" dxfId="629" priority="1178">
      <formula>$D$12&gt;=13</formula>
    </cfRule>
  </conditionalFormatting>
  <conditionalFormatting sqref="BR31 BV31 CD31 BZ31 BH31 CH31">
    <cfRule type="expression" dxfId="628" priority="1177">
      <formula>$D$12&gt;=14</formula>
    </cfRule>
  </conditionalFormatting>
  <conditionalFormatting sqref="BR32 BV32 CD32 BZ32 BH32 CH32">
    <cfRule type="expression" dxfId="627" priority="1176">
      <formula>$D$12&gt;=15</formula>
    </cfRule>
  </conditionalFormatting>
  <conditionalFormatting sqref="BR33 BV33 CD33 BZ33 BH33 CH33">
    <cfRule type="expression" dxfId="626" priority="1175">
      <formula>$D$12&gt;=16</formula>
    </cfRule>
  </conditionalFormatting>
  <conditionalFormatting sqref="BR34 BV34 CD34 BZ34 BH34 CH34">
    <cfRule type="expression" dxfId="625" priority="1174">
      <formula>$D$12&gt;=17</formula>
    </cfRule>
  </conditionalFormatting>
  <conditionalFormatting sqref="BR35 BV35 CD35 BZ35 BH35 CH35">
    <cfRule type="expression" dxfId="624" priority="1173">
      <formula>$D$12&gt;=18</formula>
    </cfRule>
  </conditionalFormatting>
  <conditionalFormatting sqref="BR36 BV36 CD36 BZ36 BH36 CH36">
    <cfRule type="expression" dxfId="623" priority="1172">
      <formula>$D$12&gt;=19</formula>
    </cfRule>
  </conditionalFormatting>
  <conditionalFormatting sqref="BR37 BV37 CD37 BH37 BZ37 CH37">
    <cfRule type="expression" dxfId="622" priority="1171">
      <formula>$D$12&gt;=20</formula>
    </cfRule>
  </conditionalFormatting>
  <conditionalFormatting sqref="BT18 BX18 CF18 CB18 BJ18 CJ18">
    <cfRule type="expression" dxfId="621" priority="1170">
      <formula>$G$12&gt;=1</formula>
    </cfRule>
  </conditionalFormatting>
  <conditionalFormatting sqref="BT19 BX19 CF19 CB19 BJ19 CJ19">
    <cfRule type="expression" dxfId="620" priority="1169">
      <formula>$G$12&gt;=2</formula>
    </cfRule>
  </conditionalFormatting>
  <conditionalFormatting sqref="BT20 BX20 CF20 CB20 BJ20 CJ20">
    <cfRule type="expression" dxfId="619" priority="1168">
      <formula>$G$12&gt;=3</formula>
    </cfRule>
  </conditionalFormatting>
  <conditionalFormatting sqref="BT21 BX21 CF21 CB21 BJ21 CJ21">
    <cfRule type="expression" dxfId="618" priority="1167">
      <formula>$G$12&gt;=4</formula>
    </cfRule>
  </conditionalFormatting>
  <conditionalFormatting sqref="BT22 BX22 CF22 CB22 BJ22 CJ22">
    <cfRule type="expression" dxfId="617" priority="1166">
      <formula>$G$12&gt;=5</formula>
    </cfRule>
  </conditionalFormatting>
  <conditionalFormatting sqref="BT23 BX23 CF23 CB23 BJ23 CJ23">
    <cfRule type="expression" dxfId="616" priority="1165">
      <formula>$G$12&gt;=6</formula>
    </cfRule>
  </conditionalFormatting>
  <conditionalFormatting sqref="BT24 BX24 CF24 CB24 BJ24 CJ24">
    <cfRule type="expression" dxfId="615" priority="1164">
      <formula>$G$12&gt;=7</formula>
    </cfRule>
  </conditionalFormatting>
  <conditionalFormatting sqref="BT25 BX25 CF25 CB25 BJ25 CJ25">
    <cfRule type="expression" dxfId="614" priority="1163">
      <formula>$G$12&gt;=8</formula>
    </cfRule>
  </conditionalFormatting>
  <conditionalFormatting sqref="BT26 BX26 CF26 CB26 BJ26 CJ26">
    <cfRule type="expression" dxfId="613" priority="1162">
      <formula>$G$12&gt;=9</formula>
    </cfRule>
  </conditionalFormatting>
  <conditionalFormatting sqref="BT27 BX27 CF27 CB27 BJ27 CJ27">
    <cfRule type="expression" dxfId="612" priority="1161">
      <formula>$G$12&gt;=10</formula>
    </cfRule>
  </conditionalFormatting>
  <conditionalFormatting sqref="BT28 BX28 CF28 CB28 BJ28 CJ28">
    <cfRule type="expression" dxfId="611" priority="1160">
      <formula>$G$12&gt;=11</formula>
    </cfRule>
  </conditionalFormatting>
  <conditionalFormatting sqref="BT29 BX29 CF29 CB29 BJ29 CJ29">
    <cfRule type="expression" dxfId="610" priority="1159">
      <formula>$G$12&gt;=12</formula>
    </cfRule>
  </conditionalFormatting>
  <conditionalFormatting sqref="BT30 BX30 CF30 CB30 BJ30 CJ30">
    <cfRule type="expression" dxfId="609" priority="1158">
      <formula>$G$12&gt;=13</formula>
    </cfRule>
  </conditionalFormatting>
  <conditionalFormatting sqref="BT31 BX31 CF31 CB31 BJ31 CJ31">
    <cfRule type="expression" dxfId="608" priority="1157">
      <formula>$G$12&gt;=14</formula>
    </cfRule>
  </conditionalFormatting>
  <conditionalFormatting sqref="BT32 BX32 CF32 CB32 BJ32 CJ32">
    <cfRule type="expression" dxfId="607" priority="1156">
      <formula>$G$12&gt;=15</formula>
    </cfRule>
  </conditionalFormatting>
  <conditionalFormatting sqref="BT33 BX33 CF33 CB33 BJ33 CJ33">
    <cfRule type="expression" dxfId="606" priority="1155">
      <formula>$G$12&gt;=16</formula>
    </cfRule>
  </conditionalFormatting>
  <conditionalFormatting sqref="BT34 BX34 CF34 CB34 BJ34 CJ34">
    <cfRule type="expression" dxfId="605" priority="1154">
      <formula>$G$12&gt;=17</formula>
    </cfRule>
  </conditionalFormatting>
  <conditionalFormatting sqref="BT35 BX35 CF35 CB35 BJ35 CJ35">
    <cfRule type="expression" dxfId="604" priority="1153">
      <formula>$G$12&gt;=18</formula>
    </cfRule>
  </conditionalFormatting>
  <conditionalFormatting sqref="BT36 BX36 CF36 CB36 BJ36 CJ36">
    <cfRule type="expression" dxfId="603" priority="1152">
      <formula>$G$12&gt;=19</formula>
    </cfRule>
  </conditionalFormatting>
  <conditionalFormatting sqref="BT37 BX37 CF37 CB37 BJ37 CJ37">
    <cfRule type="expression" dxfId="602" priority="1151">
      <formula>$G$12&gt;=20</formula>
    </cfRule>
  </conditionalFormatting>
  <conditionalFormatting sqref="BL34">
    <cfRule type="expression" dxfId="601" priority="1113">
      <formula>$D$12&gt;=17</formula>
    </cfRule>
  </conditionalFormatting>
  <conditionalFormatting sqref="BL35">
    <cfRule type="expression" dxfId="600" priority="1112">
      <formula>$D$12&gt;=18</formula>
    </cfRule>
  </conditionalFormatting>
  <conditionalFormatting sqref="BL36">
    <cfRule type="expression" dxfId="599" priority="1108">
      <formula>$D$12&gt;=19</formula>
    </cfRule>
  </conditionalFormatting>
  <conditionalFormatting sqref="BL37">
    <cfRule type="expression" dxfId="598" priority="1107">
      <formula>$D$12&gt;=20</formula>
    </cfRule>
  </conditionalFormatting>
  <conditionalFormatting sqref="BN31">
    <cfRule type="expression" dxfId="597" priority="1092">
      <formula>$G$12&gt;=14</formula>
    </cfRule>
  </conditionalFormatting>
  <conditionalFormatting sqref="BN32">
    <cfRule type="expression" dxfId="596" priority="1091">
      <formula>$G$12&gt;=15</formula>
    </cfRule>
  </conditionalFormatting>
  <conditionalFormatting sqref="BN33">
    <cfRule type="expression" dxfId="595" priority="1090">
      <formula>$G$12&gt;=16</formula>
    </cfRule>
  </conditionalFormatting>
  <conditionalFormatting sqref="BN34">
    <cfRule type="expression" dxfId="594" priority="1089">
      <formula>$G$12&gt;=17</formula>
    </cfRule>
  </conditionalFormatting>
  <conditionalFormatting sqref="BN35">
    <cfRule type="expression" dxfId="593" priority="1088">
      <formula>$G$12&gt;=18</formula>
    </cfRule>
  </conditionalFormatting>
  <conditionalFormatting sqref="BN36">
    <cfRule type="expression" dxfId="592" priority="1087">
      <formula>$G$12&gt;=19</formula>
    </cfRule>
  </conditionalFormatting>
  <conditionalFormatting sqref="BN37">
    <cfRule type="expression" dxfId="591" priority="1086">
      <formula>$G$12&gt;=20</formula>
    </cfRule>
  </conditionalFormatting>
  <conditionalFormatting sqref="B87:D87 C91:U91 C88:C89 C90:D90 C92:D93 C94:C96 M92:M93 N103:N105 C97:U98 Q102 E101:E108 S102:W105 S101:T101 V101 Q106:R108 E100:U100 C99:G99 G101:G108 U101:U105">
    <cfRule type="expression" dxfId="590" priority="1082">
      <formula>$J$11="No"</formula>
    </cfRule>
  </conditionalFormatting>
  <conditionalFormatting sqref="BL14:BN14 BL15 B87:U98 BL16:BN47 N103:N105 E100:U100 Q102 E101:E108 S102:W105 S101:T101 V101 Q106:R108 B99:G99 G101:G108 U101:U105">
    <cfRule type="expression" dxfId="589" priority="510">
      <formula>$BL$11="No"</formula>
    </cfRule>
  </conditionalFormatting>
  <conditionalFormatting sqref="BL18">
    <cfRule type="expression" dxfId="588" priority="1085">
      <formula>$D$12&gt;=1</formula>
    </cfRule>
  </conditionalFormatting>
  <conditionalFormatting sqref="BL28">
    <cfRule type="expression" dxfId="587" priority="1081">
      <formula>$D$12&gt;=11</formula>
    </cfRule>
  </conditionalFormatting>
  <conditionalFormatting sqref="BN18">
    <cfRule type="expression" dxfId="586" priority="1080">
      <formula>$G$12&gt;=1</formula>
    </cfRule>
  </conditionalFormatting>
  <conditionalFormatting sqref="H118">
    <cfRule type="expression" dxfId="585" priority="1077">
      <formula>$E$118="Yes"</formula>
    </cfRule>
  </conditionalFormatting>
  <conditionalFormatting sqref="G18:H18">
    <cfRule type="expression" dxfId="584" priority="1076">
      <formula>$D$12&gt;=1</formula>
    </cfRule>
  </conditionalFormatting>
  <conditionalFormatting sqref="G21:H21">
    <cfRule type="expression" dxfId="583" priority="1075">
      <formula>$D$12&gt;=4</formula>
    </cfRule>
  </conditionalFormatting>
  <conditionalFormatting sqref="G22:H22">
    <cfRule type="expression" dxfId="582" priority="1074">
      <formula>$D$12&gt;=5</formula>
    </cfRule>
  </conditionalFormatting>
  <conditionalFormatting sqref="G23:H23">
    <cfRule type="expression" dxfId="581" priority="1073">
      <formula>$D$12&gt;=6</formula>
    </cfRule>
  </conditionalFormatting>
  <conditionalFormatting sqref="G24:H24">
    <cfRule type="expression" dxfId="580" priority="1072">
      <formula>$D$12&gt;=7</formula>
    </cfRule>
  </conditionalFormatting>
  <conditionalFormatting sqref="G25:H25">
    <cfRule type="expression" dxfId="579" priority="1071">
      <formula>$D$12&gt;=8</formula>
    </cfRule>
  </conditionalFormatting>
  <conditionalFormatting sqref="G26:H26">
    <cfRule type="expression" dxfId="578" priority="1070">
      <formula>$D$12&gt;=9</formula>
    </cfRule>
  </conditionalFormatting>
  <conditionalFormatting sqref="G27:H27">
    <cfRule type="expression" dxfId="577" priority="1069">
      <formula>$D$12&gt;=10</formula>
    </cfRule>
  </conditionalFormatting>
  <conditionalFormatting sqref="G28:H28">
    <cfRule type="expression" dxfId="576" priority="1068">
      <formula>$D$12&gt;=11</formula>
    </cfRule>
  </conditionalFormatting>
  <conditionalFormatting sqref="G29:H29">
    <cfRule type="expression" dxfId="575" priority="1067">
      <formula>$D$12&gt;=12</formula>
    </cfRule>
  </conditionalFormatting>
  <conditionalFormatting sqref="G30:H30">
    <cfRule type="expression" dxfId="574" priority="1066">
      <formula>$D$12&gt;=13</formula>
    </cfRule>
  </conditionalFormatting>
  <conditionalFormatting sqref="G31:H31">
    <cfRule type="expression" dxfId="573" priority="1065">
      <formula>$D$12&gt;=14</formula>
    </cfRule>
  </conditionalFormatting>
  <conditionalFormatting sqref="G32:H32">
    <cfRule type="expression" dxfId="572" priority="1064">
      <formula>$D$12&gt;=15</formula>
    </cfRule>
  </conditionalFormatting>
  <conditionalFormatting sqref="G33:H33">
    <cfRule type="expression" dxfId="571" priority="1063">
      <formula>$D$12&gt;=16</formula>
    </cfRule>
  </conditionalFormatting>
  <conditionalFormatting sqref="G19:H19">
    <cfRule type="expression" dxfId="570" priority="1062">
      <formula>$D$12&gt;=2</formula>
    </cfRule>
  </conditionalFormatting>
  <conditionalFormatting sqref="G20:H20">
    <cfRule type="expression" dxfId="569" priority="1061">
      <formula>$D$12&gt;=3</formula>
    </cfRule>
  </conditionalFormatting>
  <conditionalFormatting sqref="O18:P18">
    <cfRule type="expression" dxfId="568" priority="1044">
      <formula>$G$12&gt;=1</formula>
    </cfRule>
  </conditionalFormatting>
  <conditionalFormatting sqref="O19:P19">
    <cfRule type="expression" dxfId="567" priority="1043">
      <formula>$G$12&gt;=2</formula>
    </cfRule>
  </conditionalFormatting>
  <conditionalFormatting sqref="O20:P20">
    <cfRule type="expression" dxfId="566" priority="1042">
      <formula>$G$12&gt;=3</formula>
    </cfRule>
  </conditionalFormatting>
  <conditionalFormatting sqref="O21:P21">
    <cfRule type="expression" dxfId="565" priority="1041">
      <formula>$G$12&gt;=4</formula>
    </cfRule>
  </conditionalFormatting>
  <conditionalFormatting sqref="O31:P31">
    <cfRule type="expression" dxfId="564" priority="1040">
      <formula>$G$12&gt;=14</formula>
    </cfRule>
  </conditionalFormatting>
  <conditionalFormatting sqref="O32:P32">
    <cfRule type="expression" dxfId="563" priority="1039">
      <formula>$G$12&gt;=15</formula>
    </cfRule>
  </conditionalFormatting>
  <conditionalFormatting sqref="O33:P33">
    <cfRule type="expression" dxfId="562" priority="1038">
      <formula>$G$12&gt;=16</formula>
    </cfRule>
  </conditionalFormatting>
  <conditionalFormatting sqref="O22:P22">
    <cfRule type="expression" dxfId="561" priority="1037">
      <formula>$G$12&gt;=5</formula>
    </cfRule>
  </conditionalFormatting>
  <conditionalFormatting sqref="O23:P23">
    <cfRule type="expression" dxfId="560" priority="1036">
      <formula>$G$12&gt;=6</formula>
    </cfRule>
  </conditionalFormatting>
  <conditionalFormatting sqref="O24:P24">
    <cfRule type="expression" dxfId="559" priority="1035">
      <formula>$G$12&gt;=7</formula>
    </cfRule>
  </conditionalFormatting>
  <conditionalFormatting sqref="O25:P25">
    <cfRule type="expression" dxfId="558" priority="1034">
      <formula>$G$12&gt;=8</formula>
    </cfRule>
  </conditionalFormatting>
  <conditionalFormatting sqref="O26:P26">
    <cfRule type="expression" dxfId="557" priority="1033">
      <formula>$G$12&gt;=9</formula>
    </cfRule>
  </conditionalFormatting>
  <conditionalFormatting sqref="O27:P27">
    <cfRule type="expression" dxfId="556" priority="1032">
      <formula>$G$12&gt;=10</formula>
    </cfRule>
  </conditionalFormatting>
  <conditionalFormatting sqref="O28:P28">
    <cfRule type="expression" dxfId="555" priority="1031">
      <formula>$G$12&gt;=11</formula>
    </cfRule>
  </conditionalFormatting>
  <conditionalFormatting sqref="O29:P29">
    <cfRule type="expression" dxfId="554" priority="1030">
      <formula>$G$12&gt;=12</formula>
    </cfRule>
  </conditionalFormatting>
  <conditionalFormatting sqref="O30:P30">
    <cfRule type="expression" dxfId="553" priority="1029">
      <formula>$G$12&gt;=13</formula>
    </cfRule>
  </conditionalFormatting>
  <conditionalFormatting sqref="M18">
    <cfRule type="expression" dxfId="552" priority="1010">
      <formula>$D$12&gt;=1</formula>
    </cfRule>
  </conditionalFormatting>
  <conditionalFormatting sqref="M19">
    <cfRule type="expression" dxfId="551" priority="1009">
      <formula>$D$12&gt;=2</formula>
    </cfRule>
  </conditionalFormatting>
  <conditionalFormatting sqref="M20">
    <cfRule type="expression" dxfId="550" priority="1008">
      <formula>$D$12&gt;=3</formula>
    </cfRule>
  </conditionalFormatting>
  <conditionalFormatting sqref="M21">
    <cfRule type="expression" dxfId="549" priority="1007">
      <formula>$D$12&gt;=4</formula>
    </cfRule>
  </conditionalFormatting>
  <conditionalFormatting sqref="M22">
    <cfRule type="expression" dxfId="548" priority="1006">
      <formula>$D$12&gt;=5</formula>
    </cfRule>
  </conditionalFormatting>
  <conditionalFormatting sqref="M23">
    <cfRule type="expression" dxfId="547" priority="1005">
      <formula>$D$12&gt;=6</formula>
    </cfRule>
  </conditionalFormatting>
  <conditionalFormatting sqref="M24">
    <cfRule type="expression" dxfId="546" priority="1004">
      <formula>$D$12&gt;=7</formula>
    </cfRule>
  </conditionalFormatting>
  <conditionalFormatting sqref="M25">
    <cfRule type="expression" dxfId="545" priority="1003">
      <formula>$D$12&gt;=8</formula>
    </cfRule>
  </conditionalFormatting>
  <conditionalFormatting sqref="M26">
    <cfRule type="expression" dxfId="544" priority="1002">
      <formula>$D$12&gt;=9</formula>
    </cfRule>
  </conditionalFormatting>
  <conditionalFormatting sqref="M27">
    <cfRule type="expression" dxfId="543" priority="1001">
      <formula>$D$12&gt;=10</formula>
    </cfRule>
  </conditionalFormatting>
  <conditionalFormatting sqref="M28">
    <cfRule type="expression" dxfId="542" priority="1000">
      <formula>$D$12&gt;=11</formula>
    </cfRule>
  </conditionalFormatting>
  <conditionalFormatting sqref="M29">
    <cfRule type="expression" dxfId="541" priority="999">
      <formula>$D$12&gt;=12</formula>
    </cfRule>
  </conditionalFormatting>
  <conditionalFormatting sqref="M30">
    <cfRule type="expression" dxfId="540" priority="998">
      <formula>$D$12&gt;=13</formula>
    </cfRule>
  </conditionalFormatting>
  <conditionalFormatting sqref="M31">
    <cfRule type="expression" dxfId="539" priority="997">
      <formula>$D$12&gt;=14</formula>
    </cfRule>
  </conditionalFormatting>
  <conditionalFormatting sqref="M32">
    <cfRule type="expression" dxfId="538" priority="996">
      <formula>$D$12&gt;=15</formula>
    </cfRule>
  </conditionalFormatting>
  <conditionalFormatting sqref="M33">
    <cfRule type="expression" dxfId="537" priority="995">
      <formula>$D$12&gt;=16</formula>
    </cfRule>
  </conditionalFormatting>
  <conditionalFormatting sqref="M19">
    <cfRule type="expression" dxfId="536" priority="994">
      <formula>$D$12&gt;=2</formula>
    </cfRule>
  </conditionalFormatting>
  <conditionalFormatting sqref="M20">
    <cfRule type="expression" dxfId="535" priority="993">
      <formula>$D$12&gt;=3</formula>
    </cfRule>
  </conditionalFormatting>
  <conditionalFormatting sqref="U18">
    <cfRule type="expression" dxfId="534" priority="983">
      <formula>$G$12&gt;=1</formula>
    </cfRule>
  </conditionalFormatting>
  <conditionalFormatting sqref="U19">
    <cfRule type="expression" dxfId="533" priority="982">
      <formula>$G$12&gt;=2</formula>
    </cfRule>
  </conditionalFormatting>
  <conditionalFormatting sqref="U20">
    <cfRule type="expression" dxfId="532" priority="981">
      <formula>$G$12&gt;=3</formula>
    </cfRule>
  </conditionalFormatting>
  <conditionalFormatting sqref="U21">
    <cfRule type="expression" dxfId="531" priority="980">
      <formula>$G$12&gt;=4</formula>
    </cfRule>
  </conditionalFormatting>
  <conditionalFormatting sqref="U33">
    <cfRule type="expression" dxfId="530" priority="979">
      <formula>$G$12&gt;=16</formula>
    </cfRule>
  </conditionalFormatting>
  <conditionalFormatting sqref="U22">
    <cfRule type="expression" dxfId="529" priority="978">
      <formula>$G$12&gt;=5</formula>
    </cfRule>
  </conditionalFormatting>
  <conditionalFormatting sqref="U23">
    <cfRule type="expression" dxfId="528" priority="977">
      <formula>$G$12&gt;=6</formula>
    </cfRule>
  </conditionalFormatting>
  <conditionalFormatting sqref="BD18">
    <cfRule type="expression" dxfId="527" priority="956">
      <formula>$D$12&gt;=1</formula>
    </cfRule>
  </conditionalFormatting>
  <conditionalFormatting sqref="BD19">
    <cfRule type="expression" dxfId="526" priority="955">
      <formula>$D$12&gt;=2</formula>
    </cfRule>
  </conditionalFormatting>
  <conditionalFormatting sqref="BD20">
    <cfRule type="expression" dxfId="525" priority="954">
      <formula>$D$12&gt;=3</formula>
    </cfRule>
  </conditionalFormatting>
  <conditionalFormatting sqref="BD21">
    <cfRule type="expression" dxfId="524" priority="953">
      <formula>$D$12&gt;=4</formula>
    </cfRule>
  </conditionalFormatting>
  <conditionalFormatting sqref="BD22">
    <cfRule type="expression" dxfId="523" priority="952">
      <formula>$D$12&gt;=5</formula>
    </cfRule>
  </conditionalFormatting>
  <conditionalFormatting sqref="BD23">
    <cfRule type="expression" dxfId="522" priority="951">
      <formula>$D$12&gt;=6</formula>
    </cfRule>
  </conditionalFormatting>
  <conditionalFormatting sqref="BD24">
    <cfRule type="expression" dxfId="521" priority="950">
      <formula>$D$12&gt;=7</formula>
    </cfRule>
  </conditionalFormatting>
  <conditionalFormatting sqref="BD25">
    <cfRule type="expression" dxfId="520" priority="949">
      <formula>$D$12&gt;=8</formula>
    </cfRule>
  </conditionalFormatting>
  <conditionalFormatting sqref="BD26">
    <cfRule type="expression" dxfId="519" priority="948">
      <formula>$D$12&gt;=9</formula>
    </cfRule>
  </conditionalFormatting>
  <conditionalFormatting sqref="BD27">
    <cfRule type="expression" dxfId="518" priority="947">
      <formula>$D$12&gt;=10</formula>
    </cfRule>
  </conditionalFormatting>
  <conditionalFormatting sqref="BD28">
    <cfRule type="expression" dxfId="517" priority="946">
      <formula>$D$12&gt;=11</formula>
    </cfRule>
  </conditionalFormatting>
  <conditionalFormatting sqref="BD29">
    <cfRule type="expression" dxfId="516" priority="945">
      <formula>$D$12&gt;=12</formula>
    </cfRule>
  </conditionalFormatting>
  <conditionalFormatting sqref="BD30">
    <cfRule type="expression" dxfId="515" priority="944">
      <formula>$D$12&gt;=13</formula>
    </cfRule>
  </conditionalFormatting>
  <conditionalFormatting sqref="BD31">
    <cfRule type="expression" dxfId="514" priority="943">
      <formula>$D$12&gt;=14</formula>
    </cfRule>
  </conditionalFormatting>
  <conditionalFormatting sqref="BD32">
    <cfRule type="expression" dxfId="513" priority="942">
      <formula>$D$12&gt;=15</formula>
    </cfRule>
  </conditionalFormatting>
  <conditionalFormatting sqref="BD33">
    <cfRule type="expression" dxfId="512" priority="941">
      <formula>$D$12&gt;=16</formula>
    </cfRule>
  </conditionalFormatting>
  <conditionalFormatting sqref="BD19">
    <cfRule type="expression" dxfId="511" priority="940">
      <formula>$D$12&gt;=2</formula>
    </cfRule>
  </conditionalFormatting>
  <conditionalFormatting sqref="BD20">
    <cfRule type="expression" dxfId="510" priority="939">
      <formula>$D$12&gt;=3</formula>
    </cfRule>
  </conditionalFormatting>
  <conditionalFormatting sqref="BF18">
    <cfRule type="expression" dxfId="509" priority="913">
      <formula>$G$12&gt;=1</formula>
    </cfRule>
  </conditionalFormatting>
  <conditionalFormatting sqref="BF19">
    <cfRule type="expression" dxfId="508" priority="912">
      <formula>$G$12&gt;=2</formula>
    </cfRule>
  </conditionalFormatting>
  <conditionalFormatting sqref="BF20">
    <cfRule type="expression" dxfId="507" priority="911">
      <formula>$G$12&gt;=3</formula>
    </cfRule>
  </conditionalFormatting>
  <conditionalFormatting sqref="BF21">
    <cfRule type="expression" dxfId="506" priority="910">
      <formula>$G$12&gt;=4</formula>
    </cfRule>
  </conditionalFormatting>
  <conditionalFormatting sqref="BF22">
    <cfRule type="expression" dxfId="505" priority="909">
      <formula>$G$12&gt;=5</formula>
    </cfRule>
  </conditionalFormatting>
  <conditionalFormatting sqref="BF23">
    <cfRule type="expression" dxfId="504" priority="908">
      <formula>$G$12&gt;=6</formula>
    </cfRule>
  </conditionalFormatting>
  <conditionalFormatting sqref="BF24">
    <cfRule type="expression" dxfId="503" priority="907">
      <formula>$G$12&gt;=7</formula>
    </cfRule>
  </conditionalFormatting>
  <conditionalFormatting sqref="BF25">
    <cfRule type="expression" dxfId="502" priority="906">
      <formula>$G$12&gt;=8</formula>
    </cfRule>
  </conditionalFormatting>
  <conditionalFormatting sqref="BF26">
    <cfRule type="expression" dxfId="501" priority="905">
      <formula>$G$12&gt;=9</formula>
    </cfRule>
  </conditionalFormatting>
  <conditionalFormatting sqref="BF27">
    <cfRule type="expression" dxfId="500" priority="904">
      <formula>$G$12&gt;=10</formula>
    </cfRule>
  </conditionalFormatting>
  <conditionalFormatting sqref="BF28">
    <cfRule type="expression" dxfId="499" priority="903">
      <formula>$G$12&gt;=11</formula>
    </cfRule>
  </conditionalFormatting>
  <conditionalFormatting sqref="BF29">
    <cfRule type="expression" dxfId="498" priority="902">
      <formula>$G$12&gt;=12</formula>
    </cfRule>
  </conditionalFormatting>
  <conditionalFormatting sqref="BF30">
    <cfRule type="expression" dxfId="497" priority="901">
      <formula>$G$12&gt;=13</formula>
    </cfRule>
  </conditionalFormatting>
  <conditionalFormatting sqref="BF31">
    <cfRule type="expression" dxfId="496" priority="900">
      <formula>$G$12&gt;=14</formula>
    </cfRule>
  </conditionalFormatting>
  <conditionalFormatting sqref="BF32">
    <cfRule type="expression" dxfId="495" priority="899">
      <formula>$G$12&gt;=15</formula>
    </cfRule>
  </conditionalFormatting>
  <conditionalFormatting sqref="BF33">
    <cfRule type="expression" dxfId="494" priority="898">
      <formula>$G$12&gt;=16</formula>
    </cfRule>
  </conditionalFormatting>
  <conditionalFormatting sqref="BF22">
    <cfRule type="expression" dxfId="493" priority="897">
      <formula>$G$12&gt;=5</formula>
    </cfRule>
  </conditionalFormatting>
  <conditionalFormatting sqref="BF23">
    <cfRule type="expression" dxfId="492" priority="896">
      <formula>$G$12&gt;=6</formula>
    </cfRule>
  </conditionalFormatting>
  <conditionalFormatting sqref="BF24">
    <cfRule type="expression" dxfId="491" priority="895">
      <formula>$G$12&gt;=7</formula>
    </cfRule>
  </conditionalFormatting>
  <conditionalFormatting sqref="BF25">
    <cfRule type="expression" dxfId="490" priority="894">
      <formula>$G$12&gt;=8</formula>
    </cfRule>
  </conditionalFormatting>
  <conditionalFormatting sqref="BF26">
    <cfRule type="expression" dxfId="489" priority="893">
      <formula>$G$12&gt;=9</formula>
    </cfRule>
  </conditionalFormatting>
  <conditionalFormatting sqref="BF27">
    <cfRule type="expression" dxfId="488" priority="892">
      <formula>$G$12&gt;=10</formula>
    </cfRule>
  </conditionalFormatting>
  <conditionalFormatting sqref="BF28">
    <cfRule type="expression" dxfId="487" priority="891">
      <formula>$G$12&gt;=11</formula>
    </cfRule>
  </conditionalFormatting>
  <conditionalFormatting sqref="BF29">
    <cfRule type="expression" dxfId="486" priority="890">
      <formula>$G$12&gt;=12</formula>
    </cfRule>
  </conditionalFormatting>
  <conditionalFormatting sqref="BF30">
    <cfRule type="expression" dxfId="485" priority="889">
      <formula>$G$12&gt;=13</formula>
    </cfRule>
  </conditionalFormatting>
  <conditionalFormatting sqref="E38">
    <cfRule type="expression" dxfId="484" priority="887">
      <formula>OR($D$12&gt;=21,$G$12&gt;=21)</formula>
    </cfRule>
  </conditionalFormatting>
  <conditionalFormatting sqref="E39">
    <cfRule type="expression" dxfId="483" priority="886">
      <formula>OR($D$12&gt;=22,$G$12&gt;=22)</formula>
    </cfRule>
  </conditionalFormatting>
  <conditionalFormatting sqref="E40">
    <cfRule type="expression" dxfId="482" priority="885">
      <formula>OR($D$12&gt;=23,$G$12&gt;=23)</formula>
    </cfRule>
  </conditionalFormatting>
  <conditionalFormatting sqref="E41">
    <cfRule type="expression" dxfId="481" priority="884">
      <formula>OR($D$12&gt;=24,$G$12&gt;=24)</formula>
    </cfRule>
  </conditionalFormatting>
  <conditionalFormatting sqref="E42">
    <cfRule type="expression" dxfId="480" priority="883">
      <formula>OR($D$12&gt;=25,$G$12&gt;=25)</formula>
    </cfRule>
  </conditionalFormatting>
  <conditionalFormatting sqref="E43">
    <cfRule type="expression" dxfId="479" priority="882">
      <formula>OR($D$12&gt;=26,$G$12&gt;=26)</formula>
    </cfRule>
  </conditionalFormatting>
  <conditionalFormatting sqref="E44">
    <cfRule type="expression" dxfId="478" priority="881">
      <formula>OR($D$12&gt;=27,$G$12&gt;=27)</formula>
    </cfRule>
  </conditionalFormatting>
  <conditionalFormatting sqref="E45">
    <cfRule type="expression" dxfId="477" priority="880">
      <formula>OR($D$12&gt;=28,$G$12&gt;=28)</formula>
    </cfRule>
  </conditionalFormatting>
  <conditionalFormatting sqref="E46">
    <cfRule type="expression" dxfId="476" priority="879">
      <formula>OR($D$12&gt;=29,$G$12&gt;=29)</formula>
    </cfRule>
  </conditionalFormatting>
  <conditionalFormatting sqref="E47">
    <cfRule type="expression" dxfId="475" priority="878">
      <formula>OR($D$12&gt;=30,$G$12&gt;=30)</formula>
    </cfRule>
  </conditionalFormatting>
  <conditionalFormatting sqref="G38:H38 M38 BD38">
    <cfRule type="expression" dxfId="474" priority="877">
      <formula>$D$12&gt;=21</formula>
    </cfRule>
  </conditionalFormatting>
  <conditionalFormatting sqref="G39:H39 M39 BD39">
    <cfRule type="expression" dxfId="473" priority="876">
      <formula>$D$12&gt;=22</formula>
    </cfRule>
  </conditionalFormatting>
  <conditionalFormatting sqref="G40:H40 M40 BD40">
    <cfRule type="expression" dxfId="472" priority="875">
      <formula>$D$12&gt;=23</formula>
    </cfRule>
  </conditionalFormatting>
  <conditionalFormatting sqref="G41:H41 M41 BD41">
    <cfRule type="expression" dxfId="471" priority="874">
      <formula>$D$12&gt;=24</formula>
    </cfRule>
  </conditionalFormatting>
  <conditionalFormatting sqref="G42:H42 M42 BD42">
    <cfRule type="expression" dxfId="470" priority="870">
      <formula>$D$12&gt;=25</formula>
    </cfRule>
  </conditionalFormatting>
  <conditionalFormatting sqref="G43:H43 M43 BD43">
    <cfRule type="expression" dxfId="469" priority="869">
      <formula>$D$12&gt;=26</formula>
    </cfRule>
  </conditionalFormatting>
  <conditionalFormatting sqref="G44:H44 M44 BD44">
    <cfRule type="expression" dxfId="468" priority="868">
      <formula>$D$12&gt;=27</formula>
    </cfRule>
  </conditionalFormatting>
  <conditionalFormatting sqref="G45:H45 M45 BD45">
    <cfRule type="expression" dxfId="467" priority="867">
      <formula>$D$12&gt;=28</formula>
    </cfRule>
  </conditionalFormatting>
  <conditionalFormatting sqref="G46:H46 M46 BD46">
    <cfRule type="expression" dxfId="466" priority="866">
      <formula>$D$12&gt;=29</formula>
    </cfRule>
  </conditionalFormatting>
  <conditionalFormatting sqref="G47:H47 M47 BD47">
    <cfRule type="expression" dxfId="465" priority="865">
      <formula>$D$12&gt;=30</formula>
    </cfRule>
  </conditionalFormatting>
  <conditionalFormatting sqref="O38:P38 U38 BF38">
    <cfRule type="expression" dxfId="464" priority="864">
      <formula>$G$12&gt;=21</formula>
    </cfRule>
  </conditionalFormatting>
  <conditionalFormatting sqref="O39:P39 U39 BF39">
    <cfRule type="expression" dxfId="463" priority="863">
      <formula>$G$12&gt;=22</formula>
    </cfRule>
  </conditionalFormatting>
  <conditionalFormatting sqref="O40:P40 U40 BF40">
    <cfRule type="expression" dxfId="462" priority="862">
      <formula>$G$12&gt;=23</formula>
    </cfRule>
  </conditionalFormatting>
  <conditionalFormatting sqref="O41:P41 U41 BF41">
    <cfRule type="expression" dxfId="461" priority="861">
      <formula>$G$12&gt;=24</formula>
    </cfRule>
  </conditionalFormatting>
  <conditionalFormatting sqref="O42:P42 U42 BF42">
    <cfRule type="expression" dxfId="460" priority="860">
      <formula>$G$12&gt;=25</formula>
    </cfRule>
  </conditionalFormatting>
  <conditionalFormatting sqref="O43:P43 U43 BF43">
    <cfRule type="expression" dxfId="459" priority="859">
      <formula>$G$12&gt;=26</formula>
    </cfRule>
  </conditionalFormatting>
  <conditionalFormatting sqref="O44:P44 U44 BF44">
    <cfRule type="expression" dxfId="458" priority="858">
      <formula>$G$12&gt;=27</formula>
    </cfRule>
  </conditionalFormatting>
  <conditionalFormatting sqref="O45:P45 U45 BF45">
    <cfRule type="expression" dxfId="457" priority="857">
      <formula>$G$12&gt;=28</formula>
    </cfRule>
  </conditionalFormatting>
  <conditionalFormatting sqref="O46:P46 U46 BF46">
    <cfRule type="expression" dxfId="456" priority="856">
      <formula>$G$12&gt;=29</formula>
    </cfRule>
  </conditionalFormatting>
  <conditionalFormatting sqref="O47:P47 U47 BF47">
    <cfRule type="expression" dxfId="455" priority="855">
      <formula>$G$12&gt;=30</formula>
    </cfRule>
  </conditionalFormatting>
  <conditionalFormatting sqref="BL38">
    <cfRule type="expression" dxfId="454" priority="1079">
      <formula>$D$12&gt;=21</formula>
    </cfRule>
  </conditionalFormatting>
  <conditionalFormatting sqref="BL39">
    <cfRule type="expression" dxfId="453" priority="854">
      <formula>$D$12&gt;=22</formula>
    </cfRule>
  </conditionalFormatting>
  <conditionalFormatting sqref="BL40">
    <cfRule type="expression" dxfId="452" priority="853">
      <formula>$D$12&gt;=23</formula>
    </cfRule>
  </conditionalFormatting>
  <conditionalFormatting sqref="BL41">
    <cfRule type="expression" dxfId="451" priority="852">
      <formula>$D$12&gt;=24</formula>
    </cfRule>
  </conditionalFormatting>
  <conditionalFormatting sqref="BL42">
    <cfRule type="expression" dxfId="450" priority="851">
      <formula>$D$12&gt;=25</formula>
    </cfRule>
  </conditionalFormatting>
  <conditionalFormatting sqref="BL43">
    <cfRule type="expression" dxfId="449" priority="850">
      <formula>$D$12&gt;=26</formula>
    </cfRule>
  </conditionalFormatting>
  <conditionalFormatting sqref="BL44">
    <cfRule type="expression" dxfId="448" priority="849">
      <formula>$D$12&gt;=27</formula>
    </cfRule>
  </conditionalFormatting>
  <conditionalFormatting sqref="BL45">
    <cfRule type="expression" dxfId="447" priority="848">
      <formula>$D$12&gt;=28</formula>
    </cfRule>
  </conditionalFormatting>
  <conditionalFormatting sqref="BL46">
    <cfRule type="expression" dxfId="446" priority="846">
      <formula>$D$12&gt;=29</formula>
    </cfRule>
  </conditionalFormatting>
  <conditionalFormatting sqref="BL47">
    <cfRule type="expression" dxfId="445" priority="847">
      <formula>$D$12&gt;=30</formula>
    </cfRule>
  </conditionalFormatting>
  <conditionalFormatting sqref="BN38">
    <cfRule type="expression" dxfId="444" priority="845">
      <formula>$G$12&gt;=21</formula>
    </cfRule>
  </conditionalFormatting>
  <conditionalFormatting sqref="BN39">
    <cfRule type="expression" dxfId="443" priority="844">
      <formula>$G$12&gt;=22</formula>
    </cfRule>
  </conditionalFormatting>
  <conditionalFormatting sqref="BN40">
    <cfRule type="expression" dxfId="442" priority="843">
      <formula>$G$12&gt;=23</formula>
    </cfRule>
  </conditionalFormatting>
  <conditionalFormatting sqref="BN41">
    <cfRule type="expression" dxfId="441" priority="842">
      <formula>$G$12&gt;=24</formula>
    </cfRule>
  </conditionalFormatting>
  <conditionalFormatting sqref="BN42">
    <cfRule type="expression" dxfId="440" priority="841">
      <formula>$G$12&gt;=25</formula>
    </cfRule>
  </conditionalFormatting>
  <conditionalFormatting sqref="BN43">
    <cfRule type="expression" dxfId="439" priority="840">
      <formula>$G$12&gt;=26</formula>
    </cfRule>
  </conditionalFormatting>
  <conditionalFormatting sqref="BN44">
    <cfRule type="expression" dxfId="438" priority="839">
      <formula>$G$12&gt;=27</formula>
    </cfRule>
  </conditionalFormatting>
  <conditionalFormatting sqref="BN45">
    <cfRule type="expression" dxfId="437" priority="838">
      <formula>$G$12&gt;=28</formula>
    </cfRule>
  </conditionalFormatting>
  <conditionalFormatting sqref="BN46">
    <cfRule type="expression" dxfId="436" priority="837">
      <formula>$G$12&gt;=29</formula>
    </cfRule>
  </conditionalFormatting>
  <conditionalFormatting sqref="BN47">
    <cfRule type="expression" dxfId="435" priority="836">
      <formula>$G$12&gt;=30</formula>
    </cfRule>
  </conditionalFormatting>
  <conditionalFormatting sqref="K18">
    <cfRule type="expression" dxfId="434" priority="758">
      <formula>$J$18="N"</formula>
    </cfRule>
  </conditionalFormatting>
  <conditionalFormatting sqref="K19">
    <cfRule type="expression" dxfId="433" priority="695">
      <formula>$J$19="N"</formula>
    </cfRule>
  </conditionalFormatting>
  <conditionalFormatting sqref="K20">
    <cfRule type="expression" dxfId="432" priority="694">
      <formula>$J$20="N"</formula>
    </cfRule>
  </conditionalFormatting>
  <conditionalFormatting sqref="K21">
    <cfRule type="expression" dxfId="431" priority="693">
      <formula>$J$21="N"</formula>
    </cfRule>
  </conditionalFormatting>
  <conditionalFormatting sqref="K22">
    <cfRule type="expression" dxfId="430" priority="692">
      <formula>$J$22="N"</formula>
    </cfRule>
  </conditionalFormatting>
  <conditionalFormatting sqref="K23">
    <cfRule type="expression" dxfId="429" priority="690">
      <formula>$J$23="N"</formula>
    </cfRule>
  </conditionalFormatting>
  <conditionalFormatting sqref="K24">
    <cfRule type="expression" dxfId="428" priority="689">
      <formula>$J$24="N"</formula>
    </cfRule>
  </conditionalFormatting>
  <conditionalFormatting sqref="K25">
    <cfRule type="expression" dxfId="427" priority="688">
      <formula>$J$25="N"</formula>
    </cfRule>
  </conditionalFormatting>
  <conditionalFormatting sqref="K26">
    <cfRule type="expression" dxfId="426" priority="687">
      <formula>$J$26="N"</formula>
    </cfRule>
  </conditionalFormatting>
  <conditionalFormatting sqref="K27">
    <cfRule type="expression" dxfId="425" priority="686">
      <formula>$J$27="N"</formula>
    </cfRule>
  </conditionalFormatting>
  <conditionalFormatting sqref="K28">
    <cfRule type="expression" dxfId="424" priority="685">
      <formula>$J$28="N"</formula>
    </cfRule>
  </conditionalFormatting>
  <conditionalFormatting sqref="K29">
    <cfRule type="expression" dxfId="423" priority="684">
      <formula>$J$29="N"</formula>
    </cfRule>
  </conditionalFormatting>
  <conditionalFormatting sqref="K30">
    <cfRule type="expression" dxfId="422" priority="683">
      <formula>$J$30="N"</formula>
    </cfRule>
  </conditionalFormatting>
  <conditionalFormatting sqref="K31">
    <cfRule type="expression" dxfId="421" priority="682">
      <formula>$J$31="N"</formula>
    </cfRule>
  </conditionalFormatting>
  <conditionalFormatting sqref="K32">
    <cfRule type="expression" dxfId="420" priority="681">
      <formula>$J$32="N"</formula>
    </cfRule>
  </conditionalFormatting>
  <conditionalFormatting sqref="K33">
    <cfRule type="expression" dxfId="419" priority="680">
      <formula>$J$33="N"</formula>
    </cfRule>
  </conditionalFormatting>
  <conditionalFormatting sqref="K34">
    <cfRule type="expression" dxfId="418" priority="679">
      <formula>$J$34="N"</formula>
    </cfRule>
  </conditionalFormatting>
  <conditionalFormatting sqref="K35">
    <cfRule type="expression" dxfId="417" priority="678">
      <formula>$J$35="N"</formula>
    </cfRule>
  </conditionalFormatting>
  <conditionalFormatting sqref="K36">
    <cfRule type="expression" dxfId="416" priority="677">
      <formula>$J$36="N"</formula>
    </cfRule>
  </conditionalFormatting>
  <conditionalFormatting sqref="K37">
    <cfRule type="expression" dxfId="415" priority="676">
      <formula>$J$37="N"</formula>
    </cfRule>
  </conditionalFormatting>
  <conditionalFormatting sqref="K38">
    <cfRule type="expression" dxfId="414" priority="675">
      <formula>$J$38="N"</formula>
    </cfRule>
  </conditionalFormatting>
  <conditionalFormatting sqref="K39">
    <cfRule type="expression" dxfId="413" priority="674">
      <formula>$J$39="N"</formula>
    </cfRule>
  </conditionalFormatting>
  <conditionalFormatting sqref="K40">
    <cfRule type="expression" dxfId="412" priority="673">
      <formula>$J$40="N"</formula>
    </cfRule>
  </conditionalFormatting>
  <conditionalFormatting sqref="K41">
    <cfRule type="expression" dxfId="411" priority="672">
      <formula>$J$41="N"</formula>
    </cfRule>
  </conditionalFormatting>
  <conditionalFormatting sqref="K42">
    <cfRule type="expression" dxfId="410" priority="671">
      <formula>$J$42="N"</formula>
    </cfRule>
  </conditionalFormatting>
  <conditionalFormatting sqref="K43">
    <cfRule type="expression" dxfId="409" priority="670">
      <formula>$J$43="N"</formula>
    </cfRule>
  </conditionalFormatting>
  <conditionalFormatting sqref="K44">
    <cfRule type="expression" dxfId="408" priority="669">
      <formula>$J$44="N"</formula>
    </cfRule>
  </conditionalFormatting>
  <conditionalFormatting sqref="K45">
    <cfRule type="expression" dxfId="407" priority="668">
      <formula>$J$45="N"</formula>
    </cfRule>
  </conditionalFormatting>
  <conditionalFormatting sqref="K46">
    <cfRule type="expression" dxfId="406" priority="667">
      <formula>$J$46="N"</formula>
    </cfRule>
  </conditionalFormatting>
  <conditionalFormatting sqref="K47">
    <cfRule type="expression" dxfId="405" priority="666">
      <formula>$J$47="N"</formula>
    </cfRule>
  </conditionalFormatting>
  <conditionalFormatting sqref="S18">
    <cfRule type="expression" dxfId="404" priority="665">
      <formula>$R$18="N"</formula>
    </cfRule>
  </conditionalFormatting>
  <conditionalFormatting sqref="S19">
    <cfRule type="expression" dxfId="403" priority="664">
      <formula>$R$19="N"</formula>
    </cfRule>
  </conditionalFormatting>
  <conditionalFormatting sqref="S20">
    <cfRule type="expression" dxfId="402" priority="663">
      <formula>$R$20="N"</formula>
    </cfRule>
  </conditionalFormatting>
  <conditionalFormatting sqref="S21">
    <cfRule type="expression" dxfId="401" priority="662">
      <formula>$R$21="N"</formula>
    </cfRule>
  </conditionalFormatting>
  <conditionalFormatting sqref="S22">
    <cfRule type="expression" dxfId="400" priority="661">
      <formula>$R$22="N"</formula>
    </cfRule>
  </conditionalFormatting>
  <conditionalFormatting sqref="S23">
    <cfRule type="expression" dxfId="399" priority="660">
      <formula>$R$23="N"</formula>
    </cfRule>
  </conditionalFormatting>
  <conditionalFormatting sqref="S24">
    <cfRule type="expression" dxfId="398" priority="659">
      <formula>$R$24="N"</formula>
    </cfRule>
  </conditionalFormatting>
  <conditionalFormatting sqref="S25">
    <cfRule type="expression" dxfId="397" priority="658">
      <formula>$R$25="N"</formula>
    </cfRule>
  </conditionalFormatting>
  <conditionalFormatting sqref="S26">
    <cfRule type="expression" dxfId="396" priority="657">
      <formula>$R$26="N"</formula>
    </cfRule>
  </conditionalFormatting>
  <conditionalFormatting sqref="S27">
    <cfRule type="expression" dxfId="395" priority="656">
      <formula>$R$27="N"</formula>
    </cfRule>
  </conditionalFormatting>
  <conditionalFormatting sqref="S28">
    <cfRule type="expression" dxfId="394" priority="655">
      <formula>$R$28="N"</formula>
    </cfRule>
  </conditionalFormatting>
  <conditionalFormatting sqref="S29">
    <cfRule type="expression" dxfId="393" priority="654">
      <formula>$R$29="N"</formula>
    </cfRule>
  </conditionalFormatting>
  <conditionalFormatting sqref="S30">
    <cfRule type="expression" dxfId="392" priority="653">
      <formula>$R$30="N"</formula>
    </cfRule>
  </conditionalFormatting>
  <conditionalFormatting sqref="S31">
    <cfRule type="expression" dxfId="391" priority="652">
      <formula>$R$31="N"</formula>
    </cfRule>
  </conditionalFormatting>
  <conditionalFormatting sqref="S32">
    <cfRule type="expression" dxfId="390" priority="651">
      <formula>$R$32="N"</formula>
    </cfRule>
  </conditionalFormatting>
  <conditionalFormatting sqref="S33">
    <cfRule type="expression" dxfId="389" priority="650">
      <formula>$R$33="N"</formula>
    </cfRule>
  </conditionalFormatting>
  <conditionalFormatting sqref="S34">
    <cfRule type="expression" dxfId="388" priority="649">
      <formula>$R$34="N"</formula>
    </cfRule>
  </conditionalFormatting>
  <conditionalFormatting sqref="S35">
    <cfRule type="expression" dxfId="387" priority="648">
      <formula>$R$35="N"</formula>
    </cfRule>
  </conditionalFormatting>
  <conditionalFormatting sqref="S36">
    <cfRule type="expression" dxfId="386" priority="647">
      <formula>$R$36="N"</formula>
    </cfRule>
  </conditionalFormatting>
  <conditionalFormatting sqref="S37">
    <cfRule type="expression" dxfId="385" priority="646">
      <formula>$R$37="N"</formula>
    </cfRule>
  </conditionalFormatting>
  <conditionalFormatting sqref="S38">
    <cfRule type="expression" dxfId="384" priority="645">
      <formula>$R$38="N"</formula>
    </cfRule>
  </conditionalFormatting>
  <conditionalFormatting sqref="S39">
    <cfRule type="expression" dxfId="383" priority="644">
      <formula>$R$39="N"</formula>
    </cfRule>
  </conditionalFormatting>
  <conditionalFormatting sqref="S40">
    <cfRule type="expression" dxfId="382" priority="643">
      <formula>$R$40="N"</formula>
    </cfRule>
  </conditionalFormatting>
  <conditionalFormatting sqref="S41">
    <cfRule type="expression" dxfId="381" priority="642">
      <formula>$R$41="N"</formula>
    </cfRule>
  </conditionalFormatting>
  <conditionalFormatting sqref="S42">
    <cfRule type="expression" dxfId="380" priority="641">
      <formula>$R$42="N"</formula>
    </cfRule>
  </conditionalFormatting>
  <conditionalFormatting sqref="S43">
    <cfRule type="expression" dxfId="379" priority="640">
      <formula>$R$43="N"</formula>
    </cfRule>
  </conditionalFormatting>
  <conditionalFormatting sqref="S44">
    <cfRule type="expression" dxfId="378" priority="639">
      <formula>$R$44="N"</formula>
    </cfRule>
  </conditionalFormatting>
  <conditionalFormatting sqref="S45">
    <cfRule type="expression" dxfId="377" priority="638">
      <formula>$R$45="N"</formula>
    </cfRule>
  </conditionalFormatting>
  <conditionalFormatting sqref="S46">
    <cfRule type="expression" dxfId="376" priority="637">
      <formula>$R$46="N"</formula>
    </cfRule>
  </conditionalFormatting>
  <conditionalFormatting sqref="S47">
    <cfRule type="expression" dxfId="375" priority="636">
      <formula>$R$47="N"</formula>
    </cfRule>
  </conditionalFormatting>
  <conditionalFormatting sqref="BR38 BV38 BZ38 CD38 BH38 CH38">
    <cfRule type="expression" dxfId="374" priority="635">
      <formula>$D$12&gt;=21</formula>
    </cfRule>
  </conditionalFormatting>
  <conditionalFormatting sqref="CD39 BZ39 BV39 BR39 BH39 CH39">
    <cfRule type="expression" dxfId="373" priority="634">
      <formula>$D$12&gt;=22</formula>
    </cfRule>
  </conditionalFormatting>
  <conditionalFormatting sqref="CD40 BZ40 BV40 BR40 BH40 CH40">
    <cfRule type="expression" dxfId="372" priority="633">
      <formula>$D$12&gt;=23</formula>
    </cfRule>
  </conditionalFormatting>
  <conditionalFormatting sqref="CD41 BZ41 BV41 BR41 BH41 CH41">
    <cfRule type="expression" dxfId="371" priority="632">
      <formula>$D$12&gt;=24</formula>
    </cfRule>
  </conditionalFormatting>
  <conditionalFormatting sqref="CD42 BZ42 BV42 BR42 BH42 CH42">
    <cfRule type="expression" dxfId="370" priority="631">
      <formula>$D$12&gt;=25</formula>
    </cfRule>
  </conditionalFormatting>
  <conditionalFormatting sqref="CD43 BZ43 BV43 BR43 BH43 CH43">
    <cfRule type="expression" dxfId="369" priority="630">
      <formula>$D$12&gt;=26</formula>
    </cfRule>
  </conditionalFormatting>
  <conditionalFormatting sqref="CD44 BZ44 BV44 BR44 BH44 CH44">
    <cfRule type="expression" dxfId="368" priority="629">
      <formula>$D$12&gt;=27</formula>
    </cfRule>
  </conditionalFormatting>
  <conditionalFormatting sqref="CD45 BZ45 BV45 BR45 BH45 CH45">
    <cfRule type="expression" dxfId="367" priority="628">
      <formula>$D$12&gt;=28</formula>
    </cfRule>
  </conditionalFormatting>
  <conditionalFormatting sqref="CD46 BZ46 BV46 BR46 BH46 CH46">
    <cfRule type="expression" dxfId="366" priority="627">
      <formula>$D$12&gt;=29</formula>
    </cfRule>
  </conditionalFormatting>
  <conditionalFormatting sqref="CD47 BZ47 BV47 BR47 BH47 CH47">
    <cfRule type="expression" dxfId="365" priority="626">
      <formula>$D$12&gt;=30</formula>
    </cfRule>
  </conditionalFormatting>
  <conditionalFormatting sqref="CF38 CB38 BX38 BT38 BJ38 CJ38">
    <cfRule type="expression" dxfId="364" priority="625">
      <formula>$G$12&gt;=21</formula>
    </cfRule>
  </conditionalFormatting>
  <conditionalFormatting sqref="CF39 CB39 BX39 BT39 BJ39 CJ39">
    <cfRule type="expression" dxfId="363" priority="624">
      <formula>$G$12&gt;=22</formula>
    </cfRule>
  </conditionalFormatting>
  <conditionalFormatting sqref="CF40 CB40 BX40 BT40 BJ40 CJ40">
    <cfRule type="expression" dxfId="362" priority="623">
      <formula>$G$12&gt;=23</formula>
    </cfRule>
  </conditionalFormatting>
  <conditionalFormatting sqref="CF41 CB41 BX41 BT41 BJ41 CJ41">
    <cfRule type="expression" dxfId="361" priority="622">
      <formula>$G$12&gt;=24</formula>
    </cfRule>
  </conditionalFormatting>
  <conditionalFormatting sqref="CF42 CB42 BX42 BT42 BJ42 CJ42">
    <cfRule type="expression" dxfId="360" priority="621">
      <formula>$G$12&gt;=25</formula>
    </cfRule>
  </conditionalFormatting>
  <conditionalFormatting sqref="CF43 CB43 BX43 BT43 BJ43 CJ43">
    <cfRule type="expression" dxfId="359" priority="620">
      <formula>$G$12&gt;=26</formula>
    </cfRule>
  </conditionalFormatting>
  <conditionalFormatting sqref="CF44 CB44 BX44 BT44 BJ44 CJ44">
    <cfRule type="expression" dxfId="358" priority="619">
      <formula>$G$12&gt;=27</formula>
    </cfRule>
  </conditionalFormatting>
  <conditionalFormatting sqref="CF45 CB45 BX45 BT45 BJ45 CJ45">
    <cfRule type="expression" dxfId="357" priority="618">
      <formula>$G$12&gt;=28</formula>
    </cfRule>
  </conditionalFormatting>
  <conditionalFormatting sqref="CF46 CB46 BX46 BT46 BJ46 CJ46">
    <cfRule type="expression" dxfId="356" priority="617">
      <formula>$G$12&gt;=29</formula>
    </cfRule>
  </conditionalFormatting>
  <conditionalFormatting sqref="CF47 CB47 BX47 BT47 BJ47 CJ47">
    <cfRule type="expression" dxfId="355" priority="616">
      <formula>$G$12&gt;=30</formula>
    </cfRule>
  </conditionalFormatting>
  <conditionalFormatting sqref="X125 X132">
    <cfRule type="expression" dxfId="354" priority="615">
      <formula>$G$12&gt;=1</formula>
    </cfRule>
  </conditionalFormatting>
  <conditionalFormatting sqref="Y128:Y129 Y132:Y142">
    <cfRule type="expression" dxfId="353" priority="614">
      <formula>$D$12&lt;=2</formula>
    </cfRule>
  </conditionalFormatting>
  <conditionalFormatting sqref="Z128:Z129 Z132:Z142">
    <cfRule type="expression" dxfId="352" priority="613">
      <formula>$D$12&lt;=3</formula>
    </cfRule>
  </conditionalFormatting>
  <conditionalFormatting sqref="AA128:AA129 AA132:AA142">
    <cfRule type="expression" dxfId="351" priority="612">
      <formula>$D$12&lt;=4</formula>
    </cfRule>
  </conditionalFormatting>
  <conditionalFormatting sqref="AB125 AB132">
    <cfRule type="expression" dxfId="350" priority="611">
      <formula>$G$12&gt;=5</formula>
    </cfRule>
  </conditionalFormatting>
  <conditionalFormatting sqref="AC128:AC129 AC132:AC142">
    <cfRule type="expression" dxfId="349" priority="610">
      <formula>$D$12&lt;=6</formula>
    </cfRule>
  </conditionalFormatting>
  <conditionalFormatting sqref="AD128:AD129 AD132:AD142">
    <cfRule type="expression" dxfId="348" priority="609">
      <formula>$D$12&lt;=7</formula>
    </cfRule>
  </conditionalFormatting>
  <conditionalFormatting sqref="AE128:AE129 AE132:AE142">
    <cfRule type="expression" dxfId="347" priority="608">
      <formula>$D$12&lt;=8</formula>
    </cfRule>
  </conditionalFormatting>
  <conditionalFormatting sqref="AF128:AF129 AF132:AF142">
    <cfRule type="expression" dxfId="346" priority="607">
      <formula>$D$12&lt;=9</formula>
    </cfRule>
  </conditionalFormatting>
  <conditionalFormatting sqref="AG128:AG129 AG132:AG142">
    <cfRule type="expression" dxfId="345" priority="606">
      <formula>$D$12&lt;=10</formula>
    </cfRule>
  </conditionalFormatting>
  <conditionalFormatting sqref="AH128:AH129 AH132:AH142">
    <cfRule type="expression" dxfId="344" priority="605">
      <formula>$D$12&lt;=11</formula>
    </cfRule>
  </conditionalFormatting>
  <conditionalFormatting sqref="X127:X129 X134:X142">
    <cfRule type="expression" dxfId="343" priority="446">
      <formula>$G$12&gt;=1</formula>
    </cfRule>
  </conditionalFormatting>
  <conditionalFormatting sqref="Y125 Y132">
    <cfRule type="expression" dxfId="342" priority="602">
      <formula>$G$12&gt;=2</formula>
    </cfRule>
  </conditionalFormatting>
  <conditionalFormatting sqref="Y127:Y129 Y134:Y142">
    <cfRule type="expression" dxfId="341" priority="601">
      <formula>$G$12&gt;=2</formula>
    </cfRule>
  </conditionalFormatting>
  <conditionalFormatting sqref="Z125 Z132">
    <cfRule type="expression" dxfId="340" priority="600">
      <formula>$G$12&gt;=3</formula>
    </cfRule>
  </conditionalFormatting>
  <conditionalFormatting sqref="Z127:Z129 Z134:Z142">
    <cfRule type="expression" dxfId="339" priority="443">
      <formula>$G$12&gt;=3</formula>
    </cfRule>
  </conditionalFormatting>
  <conditionalFormatting sqref="AA125 AA132">
    <cfRule type="expression" dxfId="338" priority="598">
      <formula>$G$12&gt;=4</formula>
    </cfRule>
  </conditionalFormatting>
  <conditionalFormatting sqref="AA127:AA129 AA134:AA142">
    <cfRule type="expression" dxfId="337" priority="442">
      <formula>$G$12&gt;=4</formula>
    </cfRule>
  </conditionalFormatting>
  <conditionalFormatting sqref="AB127:AB129 AB134:AB142">
    <cfRule type="expression" dxfId="336" priority="441">
      <formula>$G$12&gt;=5</formula>
    </cfRule>
  </conditionalFormatting>
  <conditionalFormatting sqref="AC125 AC132">
    <cfRule type="expression" dxfId="335" priority="595">
      <formula>$G$12&gt;=6</formula>
    </cfRule>
  </conditionalFormatting>
  <conditionalFormatting sqref="AC127:AC129 AC134:AC142">
    <cfRule type="expression" dxfId="334" priority="594">
      <formula>$G$12&gt;=6</formula>
    </cfRule>
  </conditionalFormatting>
  <conditionalFormatting sqref="AD125 AD132">
    <cfRule type="expression" dxfId="333" priority="593">
      <formula>$G$12&gt;=7</formula>
    </cfRule>
  </conditionalFormatting>
  <conditionalFormatting sqref="AD127:AD129 AD134:AD142">
    <cfRule type="expression" dxfId="332" priority="592">
      <formula>$G$12&gt;=7</formula>
    </cfRule>
  </conditionalFormatting>
  <conditionalFormatting sqref="AE125 AE132">
    <cfRule type="expression" dxfId="331" priority="591">
      <formula>$G$12&gt;=8</formula>
    </cfRule>
  </conditionalFormatting>
  <conditionalFormatting sqref="AE127:AE129 AE134:AE142">
    <cfRule type="expression" dxfId="330" priority="590">
      <formula>$G$12&gt;=8</formula>
    </cfRule>
  </conditionalFormatting>
  <conditionalFormatting sqref="AF125 AF132">
    <cfRule type="expression" dxfId="329" priority="589">
      <formula>$G$12&gt;=9</formula>
    </cfRule>
  </conditionalFormatting>
  <conditionalFormatting sqref="AF127:AF129 AF134:AF142">
    <cfRule type="expression" dxfId="328" priority="588">
      <formula>$G$12&gt;=9</formula>
    </cfRule>
  </conditionalFormatting>
  <conditionalFormatting sqref="AG125 AG132">
    <cfRule type="expression" dxfId="327" priority="587">
      <formula>$G$12&gt;=10</formula>
    </cfRule>
  </conditionalFormatting>
  <conditionalFormatting sqref="AG127:AG129 AG134:AG142">
    <cfRule type="expression" dxfId="326" priority="586">
      <formula>$G$12&gt;=10</formula>
    </cfRule>
  </conditionalFormatting>
  <conditionalFormatting sqref="AH125 AH132">
    <cfRule type="expression" dxfId="325" priority="585">
      <formula>$G$12&gt;=11</formula>
    </cfRule>
  </conditionalFormatting>
  <conditionalFormatting sqref="AH127:AH129 AH134:AH142">
    <cfRule type="expression" dxfId="324" priority="584">
      <formula>$G$12&gt;=11</formula>
    </cfRule>
  </conditionalFormatting>
  <conditionalFormatting sqref="AI125 AI132">
    <cfRule type="expression" dxfId="323" priority="583">
      <formula>$G$12&gt;=12</formula>
    </cfRule>
  </conditionalFormatting>
  <conditionalFormatting sqref="AI127:AI129 AI134:AI142">
    <cfRule type="expression" dxfId="322" priority="582">
      <formula>$G$12&gt;=12</formula>
    </cfRule>
  </conditionalFormatting>
  <conditionalFormatting sqref="AJ125 AJ132">
    <cfRule type="expression" dxfId="321" priority="581">
      <formula>$G$12&gt;=13</formula>
    </cfRule>
  </conditionalFormatting>
  <conditionalFormatting sqref="AJ127:AJ129 AJ134:AJ142">
    <cfRule type="expression" dxfId="320" priority="580">
      <formula>$G$12&gt;=13</formula>
    </cfRule>
  </conditionalFormatting>
  <conditionalFormatting sqref="AK125 AK132">
    <cfRule type="expression" dxfId="319" priority="579">
      <formula>$G$12&gt;=14</formula>
    </cfRule>
  </conditionalFormatting>
  <conditionalFormatting sqref="AK127:AK129 AK134:AK142">
    <cfRule type="expression" dxfId="318" priority="578">
      <formula>$G$12&gt;=14</formula>
    </cfRule>
  </conditionalFormatting>
  <conditionalFormatting sqref="AL125 AL132">
    <cfRule type="expression" dxfId="317" priority="577">
      <formula>$G$12&gt;=15</formula>
    </cfRule>
  </conditionalFormatting>
  <conditionalFormatting sqref="AL127:AL129 AL134:AL142">
    <cfRule type="expression" dxfId="316" priority="576">
      <formula>$G$12&gt;=15</formula>
    </cfRule>
  </conditionalFormatting>
  <conditionalFormatting sqref="AM125 AM132">
    <cfRule type="expression" dxfId="315" priority="575">
      <formula>$G$12&gt;=16</formula>
    </cfRule>
  </conditionalFormatting>
  <conditionalFormatting sqref="AM127:AM129 AM134:AM142">
    <cfRule type="expression" dxfId="314" priority="574">
      <formula>$G$12&gt;=16</formula>
    </cfRule>
  </conditionalFormatting>
  <conditionalFormatting sqref="AN125 AN132">
    <cfRule type="expression" dxfId="313" priority="573">
      <formula>$G$12&gt;=17</formula>
    </cfRule>
  </conditionalFormatting>
  <conditionalFormatting sqref="AN127:AN129 AN134:AN142">
    <cfRule type="expression" dxfId="312" priority="572">
      <formula>$G$12&gt;=17</formula>
    </cfRule>
  </conditionalFormatting>
  <conditionalFormatting sqref="AO125 AO132">
    <cfRule type="expression" dxfId="311" priority="571">
      <formula>$G$12&gt;=18</formula>
    </cfRule>
  </conditionalFormatting>
  <conditionalFormatting sqref="AO127:AO129 AO134:AO142">
    <cfRule type="expression" dxfId="310" priority="570">
      <formula>$G$12&gt;=18</formula>
    </cfRule>
  </conditionalFormatting>
  <conditionalFormatting sqref="AP125 AP132">
    <cfRule type="expression" dxfId="309" priority="569">
      <formula>$G$12&gt;=19</formula>
    </cfRule>
  </conditionalFormatting>
  <conditionalFormatting sqref="AP127:AP129 AP134:AP142">
    <cfRule type="expression" dxfId="308" priority="568">
      <formula>$G$12&gt;=19</formula>
    </cfRule>
  </conditionalFormatting>
  <conditionalFormatting sqref="AQ125 AQ132">
    <cfRule type="expression" dxfId="307" priority="567">
      <formula>$G$12&gt;=20</formula>
    </cfRule>
  </conditionalFormatting>
  <conditionalFormatting sqref="AQ127:AQ129 AQ134:AQ142">
    <cfRule type="expression" dxfId="306" priority="566">
      <formula>$G$12&gt;=20</formula>
    </cfRule>
  </conditionalFormatting>
  <conditionalFormatting sqref="AR125 AR132">
    <cfRule type="expression" dxfId="305" priority="565">
      <formula>$G$12&gt;=21</formula>
    </cfRule>
  </conditionalFormatting>
  <conditionalFormatting sqref="AR127:AR129 AR134:AR142">
    <cfRule type="expression" dxfId="304" priority="564">
      <formula>$G$12&gt;=21</formula>
    </cfRule>
  </conditionalFormatting>
  <conditionalFormatting sqref="AS125 AS132">
    <cfRule type="expression" dxfId="303" priority="563">
      <formula>$G$12&gt;=22</formula>
    </cfRule>
  </conditionalFormatting>
  <conditionalFormatting sqref="AS127:AS129 AS134:AS142">
    <cfRule type="expression" dxfId="302" priority="562">
      <formula>$G$12&gt;=22</formula>
    </cfRule>
  </conditionalFormatting>
  <conditionalFormatting sqref="AT125 AT132">
    <cfRule type="expression" dxfId="301" priority="561">
      <formula>$G$12&gt;=23</formula>
    </cfRule>
  </conditionalFormatting>
  <conditionalFormatting sqref="AT127:AT129 AT134:AT142">
    <cfRule type="expression" dxfId="300" priority="560">
      <formula>$G$12&gt;=23</formula>
    </cfRule>
  </conditionalFormatting>
  <conditionalFormatting sqref="AU125 AU132">
    <cfRule type="expression" dxfId="299" priority="559">
      <formula>$G$12&gt;=24</formula>
    </cfRule>
  </conditionalFormatting>
  <conditionalFormatting sqref="AU127:AU129 AU134:AU142">
    <cfRule type="expression" dxfId="298" priority="558">
      <formula>$G$12&gt;=24</formula>
    </cfRule>
  </conditionalFormatting>
  <conditionalFormatting sqref="AV125 AV132">
    <cfRule type="expression" dxfId="297" priority="557">
      <formula>$G$12&gt;=25</formula>
    </cfRule>
  </conditionalFormatting>
  <conditionalFormatting sqref="AV127:AV129 AV134:AV142">
    <cfRule type="expression" dxfId="296" priority="556">
      <formula>$G$12&gt;=25</formula>
    </cfRule>
  </conditionalFormatting>
  <conditionalFormatting sqref="AW125 AW132">
    <cfRule type="expression" dxfId="295" priority="555">
      <formula>$G$12&gt;=26</formula>
    </cfRule>
  </conditionalFormatting>
  <conditionalFormatting sqref="AW127:AW129 AW134:AW142">
    <cfRule type="expression" dxfId="294" priority="554">
      <formula>$G$12&gt;=26</formula>
    </cfRule>
  </conditionalFormatting>
  <conditionalFormatting sqref="AX125 AX132">
    <cfRule type="expression" dxfId="293" priority="553">
      <formula>$G$12&gt;=27</formula>
    </cfRule>
  </conditionalFormatting>
  <conditionalFormatting sqref="AX127:AX129 AX134:AX142">
    <cfRule type="expression" dxfId="292" priority="552">
      <formula>$G$12&gt;=27</formula>
    </cfRule>
  </conditionalFormatting>
  <conditionalFormatting sqref="AY125 AY132">
    <cfRule type="expression" dxfId="291" priority="551">
      <formula>$G$12&gt;=28</formula>
    </cfRule>
  </conditionalFormatting>
  <conditionalFormatting sqref="AY127:AY129 AY134:AY142">
    <cfRule type="expression" dxfId="290" priority="550">
      <formula>$G$12&gt;=28</formula>
    </cfRule>
  </conditionalFormatting>
  <conditionalFormatting sqref="AZ127:AZ129 AZ134:AZ142">
    <cfRule type="expression" dxfId="289" priority="548">
      <formula>$G$12&gt;=29</formula>
    </cfRule>
  </conditionalFormatting>
  <conditionalFormatting sqref="BA125 BA132">
    <cfRule type="expression" dxfId="288" priority="547">
      <formula>$G$12&gt;=30</formula>
    </cfRule>
  </conditionalFormatting>
  <conditionalFormatting sqref="BA127:BA129 BA134:BA142">
    <cfRule type="expression" dxfId="287" priority="546">
      <formula>$G$12&gt;=30</formula>
    </cfRule>
  </conditionalFormatting>
  <conditionalFormatting sqref="AZ125 AZ132">
    <cfRule type="expression" dxfId="286" priority="545">
      <formula>$G$12&gt;=29</formula>
    </cfRule>
  </conditionalFormatting>
  <conditionalFormatting sqref="U24">
    <cfRule type="expression" dxfId="285" priority="544">
      <formula>$G$12&gt;=7</formula>
    </cfRule>
  </conditionalFormatting>
  <conditionalFormatting sqref="U25">
    <cfRule type="expression" dxfId="284" priority="543">
      <formula>$G$12&gt;=8</formula>
    </cfRule>
  </conditionalFormatting>
  <conditionalFormatting sqref="U26">
    <cfRule type="expression" dxfId="283" priority="542">
      <formula>$G$12&gt;=9</formula>
    </cfRule>
  </conditionalFormatting>
  <conditionalFormatting sqref="U27">
    <cfRule type="expression" dxfId="282" priority="541">
      <formula>$G$12&gt;=10</formula>
    </cfRule>
  </conditionalFormatting>
  <conditionalFormatting sqref="U28">
    <cfRule type="expression" dxfId="281" priority="540">
      <formula>$G$12&gt;=11</formula>
    </cfRule>
  </conditionalFormatting>
  <conditionalFormatting sqref="U29">
    <cfRule type="expression" dxfId="280" priority="539">
      <formula>$G$12&gt;=12</formula>
    </cfRule>
  </conditionalFormatting>
  <conditionalFormatting sqref="U30">
    <cfRule type="expression" dxfId="279" priority="538">
      <formula>$G$12&gt;=13</formula>
    </cfRule>
  </conditionalFormatting>
  <conditionalFormatting sqref="U31">
    <cfRule type="expression" dxfId="278" priority="537">
      <formula>$G$12&gt;=14</formula>
    </cfRule>
  </conditionalFormatting>
  <conditionalFormatting sqref="U32">
    <cfRule type="expression" dxfId="277" priority="536">
      <formula>$G$12&gt;=15</formula>
    </cfRule>
  </conditionalFormatting>
  <conditionalFormatting sqref="BN19">
    <cfRule type="expression" dxfId="276" priority="835">
      <formula>$G$12&gt;=2</formula>
    </cfRule>
  </conditionalFormatting>
  <conditionalFormatting sqref="BN20">
    <cfRule type="expression" dxfId="275" priority="535">
      <formula>$G$12&gt;=3</formula>
    </cfRule>
  </conditionalFormatting>
  <conditionalFormatting sqref="BN21">
    <cfRule type="expression" dxfId="274" priority="534">
      <formula>$G$12&gt;=4</formula>
    </cfRule>
  </conditionalFormatting>
  <conditionalFormatting sqref="BN22">
    <cfRule type="expression" dxfId="273" priority="533">
      <formula>$G$12&gt;=5</formula>
    </cfRule>
  </conditionalFormatting>
  <conditionalFormatting sqref="BN23">
    <cfRule type="expression" dxfId="272" priority="532">
      <formula>$G$12&gt;=6</formula>
    </cfRule>
  </conditionalFormatting>
  <conditionalFormatting sqref="BN24">
    <cfRule type="expression" dxfId="271" priority="531">
      <formula>$G$12&gt;=7</formula>
    </cfRule>
  </conditionalFormatting>
  <conditionalFormatting sqref="BN25">
    <cfRule type="expression" dxfId="270" priority="530">
      <formula>$G$12&gt;=8</formula>
    </cfRule>
  </conditionalFormatting>
  <conditionalFormatting sqref="BN26">
    <cfRule type="expression" dxfId="269" priority="529">
      <formula>$G$12&gt;=9</formula>
    </cfRule>
  </conditionalFormatting>
  <conditionalFormatting sqref="BN27">
    <cfRule type="expression" dxfId="268" priority="528">
      <formula>$G$12&gt;=10</formula>
    </cfRule>
  </conditionalFormatting>
  <conditionalFormatting sqref="BN28">
    <cfRule type="expression" dxfId="267" priority="527">
      <formula>$G$12&gt;=11</formula>
    </cfRule>
  </conditionalFormatting>
  <conditionalFormatting sqref="BN29">
    <cfRule type="expression" dxfId="266" priority="526">
      <formula>$G$12&gt;=12</formula>
    </cfRule>
  </conditionalFormatting>
  <conditionalFormatting sqref="BN30">
    <cfRule type="expression" dxfId="265" priority="525">
      <formula>$G$12&gt;=13</formula>
    </cfRule>
  </conditionalFormatting>
  <conditionalFormatting sqref="BL19">
    <cfRule type="expression" dxfId="264" priority="524">
      <formula>$D$12&gt;=2</formula>
    </cfRule>
  </conditionalFormatting>
  <conditionalFormatting sqref="BL20">
    <cfRule type="expression" dxfId="263" priority="523">
      <formula>$D$12&gt;=3</formula>
    </cfRule>
  </conditionalFormatting>
  <conditionalFormatting sqref="BL21">
    <cfRule type="expression" dxfId="262" priority="522">
      <formula>$D$12&gt;=4</formula>
    </cfRule>
  </conditionalFormatting>
  <conditionalFormatting sqref="BL22">
    <cfRule type="expression" dxfId="261" priority="521">
      <formula>$D$12&gt;=5</formula>
    </cfRule>
  </conditionalFormatting>
  <conditionalFormatting sqref="BL23">
    <cfRule type="expression" dxfId="260" priority="520">
      <formula>$D$12&gt;=6</formula>
    </cfRule>
  </conditionalFormatting>
  <conditionalFormatting sqref="BL24">
    <cfRule type="expression" dxfId="259" priority="519">
      <formula>$D$12&gt;=7</formula>
    </cfRule>
  </conditionalFormatting>
  <conditionalFormatting sqref="BL25">
    <cfRule type="expression" dxfId="258" priority="518">
      <formula>$D$12&gt;=8</formula>
    </cfRule>
  </conditionalFormatting>
  <conditionalFormatting sqref="BL26">
    <cfRule type="expression" dxfId="257" priority="517">
      <formula>$D$12&gt;=9</formula>
    </cfRule>
  </conditionalFormatting>
  <conditionalFormatting sqref="BL27">
    <cfRule type="expression" dxfId="256" priority="516">
      <formula>$D$12&gt;=10</formula>
    </cfRule>
  </conditionalFormatting>
  <conditionalFormatting sqref="BL29">
    <cfRule type="expression" dxfId="255" priority="515">
      <formula>$D$12&gt;=12</formula>
    </cfRule>
  </conditionalFormatting>
  <conditionalFormatting sqref="BL30">
    <cfRule type="expression" dxfId="254" priority="514">
      <formula>$D$12&gt;=13</formula>
    </cfRule>
  </conditionalFormatting>
  <conditionalFormatting sqref="BL31">
    <cfRule type="expression" dxfId="253" priority="513">
      <formula>$D$12&gt;=14</formula>
    </cfRule>
  </conditionalFormatting>
  <conditionalFormatting sqref="BL32">
    <cfRule type="expression" dxfId="252" priority="512">
      <formula>$D$12&gt;=15</formula>
    </cfRule>
  </conditionalFormatting>
  <conditionalFormatting sqref="BL33">
    <cfRule type="expression" dxfId="251" priority="511">
      <formula>$D$12&gt;=16</formula>
    </cfRule>
  </conditionalFormatting>
  <conditionalFormatting sqref="X134">
    <cfRule type="expression" dxfId="250" priority="447">
      <formula>$X$134="Y"</formula>
    </cfRule>
  </conditionalFormatting>
  <conditionalFormatting sqref="X127:BA127">
    <cfRule type="expression" dxfId="249" priority="415">
      <formula>$Q$127="No"</formula>
    </cfRule>
  </conditionalFormatting>
  <conditionalFormatting sqref="X128:BA128">
    <cfRule type="expression" dxfId="248" priority="414">
      <formula>$Q$128="No"</formula>
    </cfRule>
  </conditionalFormatting>
  <conditionalFormatting sqref="X129:BA129">
    <cfRule type="expression" dxfId="247" priority="413">
      <formula>$Q$129="No"</formula>
    </cfRule>
  </conditionalFormatting>
  <conditionalFormatting sqref="X134:BA134">
    <cfRule type="expression" dxfId="246" priority="412">
      <formula>$Q$134="No"</formula>
    </cfRule>
  </conditionalFormatting>
  <conditionalFormatting sqref="X135:BA135">
    <cfRule type="expression" dxfId="245" priority="411">
      <formula>$Q$135="No"</formula>
    </cfRule>
  </conditionalFormatting>
  <conditionalFormatting sqref="X136:BA136">
    <cfRule type="expression" dxfId="244" priority="410">
      <formula>$Q$136="No"</formula>
    </cfRule>
  </conditionalFormatting>
  <conditionalFormatting sqref="X137:BA137">
    <cfRule type="expression" dxfId="243" priority="409">
      <formula>$Q$137="No"</formula>
    </cfRule>
  </conditionalFormatting>
  <conditionalFormatting sqref="X138:BA138">
    <cfRule type="expression" dxfId="242" priority="408">
      <formula>$Q$138="No"</formula>
    </cfRule>
  </conditionalFormatting>
  <conditionalFormatting sqref="X139:BA139">
    <cfRule type="expression" dxfId="241" priority="407">
      <formula>$Q$139="No"</formula>
    </cfRule>
  </conditionalFormatting>
  <conditionalFormatting sqref="X140:BA140">
    <cfRule type="expression" dxfId="240" priority="406">
      <formula>$Q$140="No"</formula>
    </cfRule>
  </conditionalFormatting>
  <conditionalFormatting sqref="X141:BA141">
    <cfRule type="expression" dxfId="239" priority="405">
      <formula>$Q$141="No"</formula>
    </cfRule>
  </conditionalFormatting>
  <conditionalFormatting sqref="X142:BA142">
    <cfRule type="expression" dxfId="238" priority="404">
      <formula>$Q$142="No"</formula>
    </cfRule>
  </conditionalFormatting>
  <conditionalFormatting sqref="CX34">
    <cfRule type="expression" dxfId="237" priority="253">
      <formula>$G$12&gt;=17</formula>
    </cfRule>
  </conditionalFormatting>
  <conditionalFormatting sqref="CX35">
    <cfRule type="expression" dxfId="236" priority="252">
      <formula>$G$12&gt;=18</formula>
    </cfRule>
  </conditionalFormatting>
  <conditionalFormatting sqref="CX36">
    <cfRule type="expression" dxfId="235" priority="251">
      <formula>$G$12&gt;=19</formula>
    </cfRule>
  </conditionalFormatting>
  <conditionalFormatting sqref="CX37">
    <cfRule type="expression" dxfId="234" priority="250">
      <formula>$G$12&gt;=20</formula>
    </cfRule>
  </conditionalFormatting>
  <conditionalFormatting sqref="CX18">
    <cfRule type="expression" dxfId="233" priority="249">
      <formula>$G$12&gt;=1</formula>
    </cfRule>
  </conditionalFormatting>
  <conditionalFormatting sqref="CX19">
    <cfRule type="expression" dxfId="232" priority="248">
      <formula>$G$12&gt;=2</formula>
    </cfRule>
  </conditionalFormatting>
  <conditionalFormatting sqref="CX20">
    <cfRule type="expression" dxfId="231" priority="247">
      <formula>$G$12&gt;=3</formula>
    </cfRule>
  </conditionalFormatting>
  <conditionalFormatting sqref="CX21">
    <cfRule type="expression" dxfId="230" priority="246">
      <formula>$G$12&gt;=4</formula>
    </cfRule>
  </conditionalFormatting>
  <conditionalFormatting sqref="CX33">
    <cfRule type="expression" dxfId="229" priority="245">
      <formula>$G$12&gt;=16</formula>
    </cfRule>
  </conditionalFormatting>
  <conditionalFormatting sqref="CX22">
    <cfRule type="expression" dxfId="228" priority="244">
      <formula>$G$12&gt;=5</formula>
    </cfRule>
  </conditionalFormatting>
  <conditionalFormatting sqref="CX23">
    <cfRule type="expression" dxfId="227" priority="243">
      <formula>$G$12&gt;=6</formula>
    </cfRule>
  </conditionalFormatting>
  <conditionalFormatting sqref="CX38">
    <cfRule type="expression" dxfId="226" priority="242">
      <formula>$G$12&gt;=21</formula>
    </cfRule>
  </conditionalFormatting>
  <conditionalFormatting sqref="CX39">
    <cfRule type="expression" dxfId="225" priority="241">
      <formula>$G$12&gt;=22</formula>
    </cfRule>
  </conditionalFormatting>
  <conditionalFormatting sqref="CX40">
    <cfRule type="expression" dxfId="224" priority="240">
      <formula>$G$12&gt;=23</formula>
    </cfRule>
  </conditionalFormatting>
  <conditionalFormatting sqref="CX41">
    <cfRule type="expression" dxfId="223" priority="239">
      <formula>$G$12&gt;=24</formula>
    </cfRule>
  </conditionalFormatting>
  <conditionalFormatting sqref="CX42">
    <cfRule type="expression" dxfId="222" priority="238">
      <formula>$G$12&gt;=25</formula>
    </cfRule>
  </conditionalFormatting>
  <conditionalFormatting sqref="CX43">
    <cfRule type="expression" dxfId="221" priority="237">
      <formula>$G$12&gt;=26</formula>
    </cfRule>
  </conditionalFormatting>
  <conditionalFormatting sqref="CX44">
    <cfRule type="expression" dxfId="220" priority="236">
      <formula>$G$12&gt;=27</formula>
    </cfRule>
  </conditionalFormatting>
  <conditionalFormatting sqref="CX45">
    <cfRule type="expression" dxfId="219" priority="235">
      <formula>$G$12&gt;=28</formula>
    </cfRule>
  </conditionalFormatting>
  <conditionalFormatting sqref="CX46">
    <cfRule type="expression" dxfId="218" priority="234">
      <formula>$G$12&gt;=29</formula>
    </cfRule>
  </conditionalFormatting>
  <conditionalFormatting sqref="CX47">
    <cfRule type="expression" dxfId="217" priority="233">
      <formula>$G$12&gt;=30</formula>
    </cfRule>
  </conditionalFormatting>
  <conditionalFormatting sqref="CX24">
    <cfRule type="expression" dxfId="216" priority="232">
      <formula>$G$12&gt;=7</formula>
    </cfRule>
  </conditionalFormatting>
  <conditionalFormatting sqref="CX25">
    <cfRule type="expression" dxfId="215" priority="231">
      <formula>$G$12&gt;=8</formula>
    </cfRule>
  </conditionalFormatting>
  <conditionalFormatting sqref="CX26">
    <cfRule type="expression" dxfId="214" priority="230">
      <formula>$G$12&gt;=9</formula>
    </cfRule>
  </conditionalFormatting>
  <conditionalFormatting sqref="CX27">
    <cfRule type="expression" dxfId="213" priority="229">
      <formula>$G$12&gt;=10</formula>
    </cfRule>
  </conditionalFormatting>
  <conditionalFormatting sqref="CX28">
    <cfRule type="expression" dxfId="212" priority="228">
      <formula>$G$12&gt;=11</formula>
    </cfRule>
  </conditionalFormatting>
  <conditionalFormatting sqref="CX29">
    <cfRule type="expression" dxfId="211" priority="227">
      <formula>$G$12&gt;=12</formula>
    </cfRule>
  </conditionalFormatting>
  <conditionalFormatting sqref="CX30">
    <cfRule type="expression" dxfId="210" priority="226">
      <formula>$G$12&gt;=13</formula>
    </cfRule>
  </conditionalFormatting>
  <conditionalFormatting sqref="CX31">
    <cfRule type="expression" dxfId="209" priority="225">
      <formula>$G$12&gt;=14</formula>
    </cfRule>
  </conditionalFormatting>
  <conditionalFormatting sqref="CX32">
    <cfRule type="expression" dxfId="208" priority="224">
      <formula>$G$12&gt;=15</formula>
    </cfRule>
  </conditionalFormatting>
  <conditionalFormatting sqref="J101">
    <cfRule type="expression" dxfId="207" priority="192">
      <formula>$J$11="No"</formula>
    </cfRule>
  </conditionalFormatting>
  <conditionalFormatting sqref="J101">
    <cfRule type="expression" dxfId="206" priority="191">
      <formula>$BL$11="No"</formula>
    </cfRule>
  </conditionalFormatting>
  <conditionalFormatting sqref="S106:Y108">
    <cfRule type="expression" dxfId="205" priority="188">
      <formula>$J$11="No"</formula>
    </cfRule>
  </conditionalFormatting>
  <conditionalFormatting sqref="S106:Y108">
    <cfRule type="expression" dxfId="204" priority="187">
      <formula>$BL$11="No"</formula>
    </cfRule>
  </conditionalFormatting>
  <conditionalFormatting sqref="Z101">
    <cfRule type="expression" dxfId="203" priority="184">
      <formula>$J$11="No"</formula>
    </cfRule>
  </conditionalFormatting>
  <conditionalFormatting sqref="Z101">
    <cfRule type="expression" dxfId="202" priority="183">
      <formula>$BL$11="No"</formula>
    </cfRule>
  </conditionalFormatting>
  <conditionalFormatting sqref="AH101">
    <cfRule type="expression" dxfId="201" priority="182">
      <formula>$J$11="No"</formula>
    </cfRule>
  </conditionalFormatting>
  <conditionalFormatting sqref="AH101">
    <cfRule type="expression" dxfId="200" priority="181">
      <formula>$BL$11="No"</formula>
    </cfRule>
  </conditionalFormatting>
  <conditionalFormatting sqref="AZ101">
    <cfRule type="expression" dxfId="199" priority="180">
      <formula>$J$11="No"</formula>
    </cfRule>
  </conditionalFormatting>
  <conditionalFormatting sqref="AZ101">
    <cfRule type="expression" dxfId="198" priority="179">
      <formula>$BL$11="No"</formula>
    </cfRule>
  </conditionalFormatting>
  <conditionalFormatting sqref="AZ102:AZ108">
    <cfRule type="expression" dxfId="197" priority="178">
      <formula>$J$11="No"</formula>
    </cfRule>
  </conditionalFormatting>
  <conditionalFormatting sqref="AZ102:AZ108">
    <cfRule type="expression" dxfId="196" priority="177">
      <formula>$BL$11="No"</formula>
    </cfRule>
  </conditionalFormatting>
  <conditionalFormatting sqref="BD101">
    <cfRule type="expression" dxfId="195" priority="176">
      <formula>$J$11="No"</formula>
    </cfRule>
  </conditionalFormatting>
  <conditionalFormatting sqref="BD101">
    <cfRule type="expression" dxfId="194" priority="175">
      <formula>$BL$11="No"</formula>
    </cfRule>
  </conditionalFormatting>
  <conditionalFormatting sqref="BF101">
    <cfRule type="expression" dxfId="193" priority="174">
      <formula>$J$11="No"</formula>
    </cfRule>
  </conditionalFormatting>
  <conditionalFormatting sqref="BF101">
    <cfRule type="expression" dxfId="192" priority="173">
      <formula>$BL$11="No"</formula>
    </cfRule>
  </conditionalFormatting>
  <conditionalFormatting sqref="AO102">
    <cfRule type="expression" dxfId="191" priority="172">
      <formula>$J$11="No"</formula>
    </cfRule>
  </conditionalFormatting>
  <conditionalFormatting sqref="AO102">
    <cfRule type="expression" dxfId="190" priority="171">
      <formula>$BL$11="No"</formula>
    </cfRule>
  </conditionalFormatting>
  <conditionalFormatting sqref="BG102">
    <cfRule type="expression" dxfId="189" priority="170">
      <formula>$J$11="No"</formula>
    </cfRule>
  </conditionalFormatting>
  <conditionalFormatting sqref="BG102">
    <cfRule type="expression" dxfId="188" priority="169">
      <formula>$BL$11="No"</formula>
    </cfRule>
  </conditionalFormatting>
  <conditionalFormatting sqref="CR34">
    <cfRule type="expression" dxfId="187" priority="168">
      <formula>$D$12&gt;=17</formula>
    </cfRule>
  </conditionalFormatting>
  <conditionalFormatting sqref="CR35">
    <cfRule type="expression" dxfId="186" priority="137">
      <formula>$D$12&gt;=18</formula>
    </cfRule>
  </conditionalFormatting>
  <conditionalFormatting sqref="CR36">
    <cfRule type="expression" dxfId="185" priority="167">
      <formula>$D$12&gt;=19</formula>
    </cfRule>
  </conditionalFormatting>
  <conditionalFormatting sqref="CR37">
    <cfRule type="expression" dxfId="184" priority="166">
      <formula>$D$12&gt;=20</formula>
    </cfRule>
  </conditionalFormatting>
  <conditionalFormatting sqref="CR18">
    <cfRule type="expression" dxfId="183" priority="165">
      <formula>$D$12&gt;=1</formula>
    </cfRule>
  </conditionalFormatting>
  <conditionalFormatting sqref="CR19">
    <cfRule type="expression" dxfId="182" priority="164">
      <formula>$D$12&gt;=2</formula>
    </cfRule>
  </conditionalFormatting>
  <conditionalFormatting sqref="CR20">
    <cfRule type="expression" dxfId="181" priority="163">
      <formula>$D$12&gt;=3</formula>
    </cfRule>
  </conditionalFormatting>
  <conditionalFormatting sqref="CR21">
    <cfRule type="expression" dxfId="180" priority="162">
      <formula>$D$12&gt;=4</formula>
    </cfRule>
  </conditionalFormatting>
  <conditionalFormatting sqref="CR22">
    <cfRule type="expression" dxfId="179" priority="161">
      <formula>$D$12&gt;=5</formula>
    </cfRule>
  </conditionalFormatting>
  <conditionalFormatting sqref="CR23">
    <cfRule type="expression" dxfId="178" priority="160">
      <formula>$D$12&gt;=6</formula>
    </cfRule>
  </conditionalFormatting>
  <conditionalFormatting sqref="CR24">
    <cfRule type="expression" dxfId="177" priority="159">
      <formula>$D$12&gt;=7</formula>
    </cfRule>
  </conditionalFormatting>
  <conditionalFormatting sqref="CR25">
    <cfRule type="expression" dxfId="176" priority="158">
      <formula>$D$12&gt;=8</formula>
    </cfRule>
  </conditionalFormatting>
  <conditionalFormatting sqref="CR26">
    <cfRule type="expression" dxfId="175" priority="157">
      <formula>$D$12&gt;=9</formula>
    </cfRule>
  </conditionalFormatting>
  <conditionalFormatting sqref="CR27">
    <cfRule type="expression" dxfId="174" priority="156">
      <formula>$D$12&gt;=10</formula>
    </cfRule>
  </conditionalFormatting>
  <conditionalFormatting sqref="CR28">
    <cfRule type="expression" dxfId="173" priority="155">
      <formula>$D$12&gt;=11</formula>
    </cfRule>
  </conditionalFormatting>
  <conditionalFormatting sqref="CR29">
    <cfRule type="expression" dxfId="172" priority="154">
      <formula>$D$12&gt;=12</formula>
    </cfRule>
  </conditionalFormatting>
  <conditionalFormatting sqref="CR30">
    <cfRule type="expression" dxfId="171" priority="153">
      <formula>$D$12&gt;=13</formula>
    </cfRule>
  </conditionalFormatting>
  <conditionalFormatting sqref="CR31">
    <cfRule type="expression" dxfId="170" priority="152">
      <formula>$D$12&gt;=14</formula>
    </cfRule>
  </conditionalFormatting>
  <conditionalFormatting sqref="CR32">
    <cfRule type="expression" dxfId="169" priority="151">
      <formula>$D$12&gt;=15</formula>
    </cfRule>
  </conditionalFormatting>
  <conditionalFormatting sqref="CR33">
    <cfRule type="expression" dxfId="168" priority="150">
      <formula>$D$12&gt;=16</formula>
    </cfRule>
  </conditionalFormatting>
  <conditionalFormatting sqref="CR19">
    <cfRule type="expression" dxfId="167" priority="149">
      <formula>$D$12&gt;=2</formula>
    </cfRule>
  </conditionalFormatting>
  <conditionalFormatting sqref="CR20">
    <cfRule type="expression" dxfId="166" priority="148">
      <formula>$D$12&gt;=3</formula>
    </cfRule>
  </conditionalFormatting>
  <conditionalFormatting sqref="CR38">
    <cfRule type="expression" dxfId="165" priority="147">
      <formula>$D$12&gt;=21</formula>
    </cfRule>
  </conditionalFormatting>
  <conditionalFormatting sqref="CR39">
    <cfRule type="expression" dxfId="164" priority="146">
      <formula>$D$12&gt;=22</formula>
    </cfRule>
  </conditionalFormatting>
  <conditionalFormatting sqref="CR40">
    <cfRule type="expression" dxfId="163" priority="145">
      <formula>$D$12&gt;=23</formula>
    </cfRule>
  </conditionalFormatting>
  <conditionalFormatting sqref="CR41">
    <cfRule type="expression" dxfId="162" priority="144">
      <formula>$D$12&gt;=24</formula>
    </cfRule>
  </conditionalFormatting>
  <conditionalFormatting sqref="CR42">
    <cfRule type="expression" dxfId="161" priority="143">
      <formula>$D$12&gt;=25</formula>
    </cfRule>
  </conditionalFormatting>
  <conditionalFormatting sqref="CR43">
    <cfRule type="expression" dxfId="160" priority="142">
      <formula>$D$12&gt;=26</formula>
    </cfRule>
  </conditionalFormatting>
  <conditionalFormatting sqref="CR44">
    <cfRule type="expression" dxfId="159" priority="141">
      <formula>$D$12&gt;=27</formula>
    </cfRule>
  </conditionalFormatting>
  <conditionalFormatting sqref="CR45">
    <cfRule type="expression" dxfId="158" priority="140">
      <formula>$D$12&gt;=28</formula>
    </cfRule>
  </conditionalFormatting>
  <conditionalFormatting sqref="CR46">
    <cfRule type="expression" dxfId="157" priority="139">
      <formula>$D$12&gt;=29</formula>
    </cfRule>
  </conditionalFormatting>
  <conditionalFormatting sqref="CR47">
    <cfRule type="expression" dxfId="156" priority="138">
      <formula>$D$12&gt;=30</formula>
    </cfRule>
  </conditionalFormatting>
  <conditionalFormatting sqref="CN18">
    <cfRule type="expression" dxfId="155" priority="136">
      <formula>$D$12&gt;=1</formula>
    </cfRule>
  </conditionalFormatting>
  <conditionalFormatting sqref="CN19">
    <cfRule type="expression" dxfId="154" priority="135">
      <formula>$D$12&gt;=2</formula>
    </cfRule>
  </conditionalFormatting>
  <conditionalFormatting sqref="CN20">
    <cfRule type="expression" dxfId="153" priority="134">
      <formula>$D$12&gt;=3</formula>
    </cfRule>
  </conditionalFormatting>
  <conditionalFormatting sqref="CN21">
    <cfRule type="expression" dxfId="152" priority="133">
      <formula>$D$12&gt;=4</formula>
    </cfRule>
  </conditionalFormatting>
  <conditionalFormatting sqref="CN22">
    <cfRule type="expression" dxfId="151" priority="132">
      <formula>$D$12&gt;=5</formula>
    </cfRule>
  </conditionalFormatting>
  <conditionalFormatting sqref="CN23">
    <cfRule type="expression" dxfId="150" priority="131">
      <formula>$D$12&gt;=6</formula>
    </cfRule>
  </conditionalFormatting>
  <conditionalFormatting sqref="CN24">
    <cfRule type="expression" dxfId="149" priority="130">
      <formula>$D$12&gt;=7</formula>
    </cfRule>
  </conditionalFormatting>
  <conditionalFormatting sqref="CN25">
    <cfRule type="expression" dxfId="148" priority="129">
      <formula>$D$12&gt;=8</formula>
    </cfRule>
  </conditionalFormatting>
  <conditionalFormatting sqref="CN26">
    <cfRule type="expression" dxfId="147" priority="128">
      <formula>$D$12&gt;=9</formula>
    </cfRule>
  </conditionalFormatting>
  <conditionalFormatting sqref="CN27">
    <cfRule type="expression" dxfId="146" priority="127">
      <formula>$D$12&gt;=10</formula>
    </cfRule>
  </conditionalFormatting>
  <conditionalFormatting sqref="CN28">
    <cfRule type="expression" dxfId="145" priority="126">
      <formula>$D$12&gt;=11</formula>
    </cfRule>
  </conditionalFormatting>
  <conditionalFormatting sqref="CN29">
    <cfRule type="expression" dxfId="144" priority="125">
      <formula>$D$12&gt;=12</formula>
    </cfRule>
  </conditionalFormatting>
  <conditionalFormatting sqref="CN30">
    <cfRule type="expression" dxfId="143" priority="124">
      <formula>$D$12&gt;=13</formula>
    </cfRule>
  </conditionalFormatting>
  <conditionalFormatting sqref="CN31">
    <cfRule type="expression" dxfId="142" priority="123">
      <formula>$D$12&gt;=14</formula>
    </cfRule>
  </conditionalFormatting>
  <conditionalFormatting sqref="CN32">
    <cfRule type="expression" dxfId="141" priority="122">
      <formula>$D$12&gt;=15</formula>
    </cfRule>
  </conditionalFormatting>
  <conditionalFormatting sqref="CN33">
    <cfRule type="expression" dxfId="140" priority="121">
      <formula>$D$12&gt;=16</formula>
    </cfRule>
  </conditionalFormatting>
  <conditionalFormatting sqref="CN34">
    <cfRule type="expression" dxfId="139" priority="120">
      <formula>$D$12&gt;=17</formula>
    </cfRule>
  </conditionalFormatting>
  <conditionalFormatting sqref="CN35">
    <cfRule type="expression" dxfId="138" priority="119">
      <formula>$D$12&gt;=18</formula>
    </cfRule>
  </conditionalFormatting>
  <conditionalFormatting sqref="CN36">
    <cfRule type="expression" dxfId="137" priority="118">
      <formula>$D$12&gt;=19</formula>
    </cfRule>
  </conditionalFormatting>
  <conditionalFormatting sqref="CN37">
    <cfRule type="expression" dxfId="136" priority="117">
      <formula>$D$12&gt;=20</formula>
    </cfRule>
  </conditionalFormatting>
  <conditionalFormatting sqref="CN38">
    <cfRule type="expression" dxfId="135" priority="116">
      <formula>$D$12&gt;=21</formula>
    </cfRule>
  </conditionalFormatting>
  <conditionalFormatting sqref="CN39">
    <cfRule type="expression" dxfId="134" priority="115">
      <formula>$D$12&gt;=22</formula>
    </cfRule>
  </conditionalFormatting>
  <conditionalFormatting sqref="CN40">
    <cfRule type="expression" dxfId="133" priority="114">
      <formula>$D$12&gt;=23</formula>
    </cfRule>
  </conditionalFormatting>
  <conditionalFormatting sqref="CN41">
    <cfRule type="expression" dxfId="132" priority="113">
      <formula>$D$12&gt;=24</formula>
    </cfRule>
  </conditionalFormatting>
  <conditionalFormatting sqref="CN42">
    <cfRule type="expression" dxfId="131" priority="112">
      <formula>$D$12&gt;=25</formula>
    </cfRule>
  </conditionalFormatting>
  <conditionalFormatting sqref="CN43">
    <cfRule type="expression" dxfId="130" priority="111">
      <formula>$D$12&gt;=26</formula>
    </cfRule>
  </conditionalFormatting>
  <conditionalFormatting sqref="CN44">
    <cfRule type="expression" dxfId="129" priority="110">
      <formula>$D$12&gt;=27</formula>
    </cfRule>
  </conditionalFormatting>
  <conditionalFormatting sqref="CN45">
    <cfRule type="expression" dxfId="128" priority="109">
      <formula>$D$12&gt;=28</formula>
    </cfRule>
  </conditionalFormatting>
  <conditionalFormatting sqref="CN46">
    <cfRule type="expression" dxfId="127" priority="108">
      <formula>$D$12&gt;=29</formula>
    </cfRule>
  </conditionalFormatting>
  <conditionalFormatting sqref="CN47">
    <cfRule type="expression" dxfId="126" priority="107">
      <formula>$D$12&gt;=30</formula>
    </cfRule>
  </conditionalFormatting>
  <conditionalFormatting sqref="CP18">
    <cfRule type="expression" dxfId="125" priority="106">
      <formula>$D$12&gt;=1</formula>
    </cfRule>
  </conditionalFormatting>
  <conditionalFormatting sqref="CP19">
    <cfRule type="expression" dxfId="124" priority="105">
      <formula>$D$12&gt;=2</formula>
    </cfRule>
  </conditionalFormatting>
  <conditionalFormatting sqref="CP20">
    <cfRule type="expression" dxfId="123" priority="104">
      <formula>$D$12&gt;=3</formula>
    </cfRule>
  </conditionalFormatting>
  <conditionalFormatting sqref="CP21">
    <cfRule type="expression" dxfId="122" priority="103">
      <formula>$D$12&gt;=4</formula>
    </cfRule>
  </conditionalFormatting>
  <conditionalFormatting sqref="CP22">
    <cfRule type="expression" dxfId="121" priority="102">
      <formula>$D$12&gt;=5</formula>
    </cfRule>
  </conditionalFormatting>
  <conditionalFormatting sqref="CP23">
    <cfRule type="expression" dxfId="120" priority="101">
      <formula>$D$12&gt;=6</formula>
    </cfRule>
  </conditionalFormatting>
  <conditionalFormatting sqref="CP24">
    <cfRule type="expression" dxfId="119" priority="100">
      <formula>$D$12&gt;=7</formula>
    </cfRule>
  </conditionalFormatting>
  <conditionalFormatting sqref="CP25">
    <cfRule type="expression" dxfId="118" priority="99">
      <formula>$D$12&gt;=8</formula>
    </cfRule>
  </conditionalFormatting>
  <conditionalFormatting sqref="CP26">
    <cfRule type="expression" dxfId="117" priority="98">
      <formula>$D$12&gt;=9</formula>
    </cfRule>
  </conditionalFormatting>
  <conditionalFormatting sqref="CP27">
    <cfRule type="expression" dxfId="116" priority="97">
      <formula>$D$12&gt;=10</formula>
    </cfRule>
  </conditionalFormatting>
  <conditionalFormatting sqref="CP28">
    <cfRule type="expression" dxfId="115" priority="96">
      <formula>$D$12&gt;=11</formula>
    </cfRule>
  </conditionalFormatting>
  <conditionalFormatting sqref="CP29">
    <cfRule type="expression" dxfId="114" priority="95">
      <formula>$D$12&gt;=12</formula>
    </cfRule>
  </conditionalFormatting>
  <conditionalFormatting sqref="CP30">
    <cfRule type="expression" dxfId="113" priority="94">
      <formula>$D$12&gt;=13</formula>
    </cfRule>
  </conditionalFormatting>
  <conditionalFormatting sqref="CP31">
    <cfRule type="expression" dxfId="112" priority="93">
      <formula>$D$12&gt;=14</formula>
    </cfRule>
  </conditionalFormatting>
  <conditionalFormatting sqref="CP32">
    <cfRule type="expression" dxfId="111" priority="92">
      <formula>$D$12&gt;=15</formula>
    </cfRule>
  </conditionalFormatting>
  <conditionalFormatting sqref="CP33">
    <cfRule type="expression" dxfId="110" priority="91">
      <formula>$D$12&gt;=16</formula>
    </cfRule>
  </conditionalFormatting>
  <conditionalFormatting sqref="CP34">
    <cfRule type="expression" dxfId="109" priority="90">
      <formula>$D$12&gt;=17</formula>
    </cfRule>
  </conditionalFormatting>
  <conditionalFormatting sqref="CP35">
    <cfRule type="expression" dxfId="108" priority="89">
      <formula>$D$12&gt;=18</formula>
    </cfRule>
  </conditionalFormatting>
  <conditionalFormatting sqref="CP36">
    <cfRule type="expression" dxfId="107" priority="88">
      <formula>$D$12&gt;=19</formula>
    </cfRule>
  </conditionalFormatting>
  <conditionalFormatting sqref="CP37">
    <cfRule type="expression" dxfId="106" priority="87">
      <formula>$D$12&gt;=20</formula>
    </cfRule>
  </conditionalFormatting>
  <conditionalFormatting sqref="CP38">
    <cfRule type="expression" dxfId="105" priority="86">
      <formula>$D$12&gt;=21</formula>
    </cfRule>
  </conditionalFormatting>
  <conditionalFormatting sqref="CP39">
    <cfRule type="expression" dxfId="104" priority="85">
      <formula>$D$12&gt;=22</formula>
    </cfRule>
  </conditionalFormatting>
  <conditionalFormatting sqref="CP40">
    <cfRule type="expression" dxfId="103" priority="84">
      <formula>$D$12&gt;=23</formula>
    </cfRule>
  </conditionalFormatting>
  <conditionalFormatting sqref="CP41">
    <cfRule type="expression" dxfId="102" priority="83">
      <formula>$D$12&gt;=24</formula>
    </cfRule>
  </conditionalFormatting>
  <conditionalFormatting sqref="CP42">
    <cfRule type="expression" dxfId="101" priority="82">
      <formula>$D$12&gt;=25</formula>
    </cfRule>
  </conditionalFormatting>
  <conditionalFormatting sqref="CP43">
    <cfRule type="expression" dxfId="100" priority="81">
      <formula>$D$12&gt;=26</formula>
    </cfRule>
  </conditionalFormatting>
  <conditionalFormatting sqref="CP44">
    <cfRule type="expression" dxfId="99" priority="80">
      <formula>$D$12&gt;=27</formula>
    </cfRule>
  </conditionalFormatting>
  <conditionalFormatting sqref="CP45">
    <cfRule type="expression" dxfId="98" priority="79">
      <formula>$D$12&gt;=28</formula>
    </cfRule>
  </conditionalFormatting>
  <conditionalFormatting sqref="CP46">
    <cfRule type="expression" dxfId="97" priority="78">
      <formula>$D$12&gt;=29</formula>
    </cfRule>
  </conditionalFormatting>
  <conditionalFormatting sqref="CP47">
    <cfRule type="expression" dxfId="96" priority="77">
      <formula>$D$12&gt;=30</formula>
    </cfRule>
  </conditionalFormatting>
  <conditionalFormatting sqref="CT18">
    <cfRule type="expression" dxfId="95" priority="76">
      <formula>$G$12&gt;=1</formula>
    </cfRule>
  </conditionalFormatting>
  <conditionalFormatting sqref="CT19">
    <cfRule type="expression" dxfId="94" priority="75">
      <formula>$G$12&gt;=2</formula>
    </cfRule>
  </conditionalFormatting>
  <conditionalFormatting sqref="CT20">
    <cfRule type="expression" dxfId="93" priority="74">
      <formula>$G$12&gt;=3</formula>
    </cfRule>
  </conditionalFormatting>
  <conditionalFormatting sqref="CT21">
    <cfRule type="expression" dxfId="92" priority="73">
      <formula>$G$12&gt;=4</formula>
    </cfRule>
  </conditionalFormatting>
  <conditionalFormatting sqref="CT22">
    <cfRule type="expression" dxfId="91" priority="72">
      <formula>$G$12&gt;=5</formula>
    </cfRule>
  </conditionalFormatting>
  <conditionalFormatting sqref="CT23">
    <cfRule type="expression" dxfId="90" priority="71">
      <formula>$G$12&gt;=6</formula>
    </cfRule>
  </conditionalFormatting>
  <conditionalFormatting sqref="CT24">
    <cfRule type="expression" dxfId="89" priority="70">
      <formula>$G$12&gt;=7</formula>
    </cfRule>
  </conditionalFormatting>
  <conditionalFormatting sqref="CT25">
    <cfRule type="expression" dxfId="88" priority="69">
      <formula>$G$12&gt;=8</formula>
    </cfRule>
  </conditionalFormatting>
  <conditionalFormatting sqref="CT26">
    <cfRule type="expression" dxfId="87" priority="68">
      <formula>$G$12&gt;=9</formula>
    </cfRule>
  </conditionalFormatting>
  <conditionalFormatting sqref="CT27">
    <cfRule type="expression" dxfId="86" priority="67">
      <formula>$G$12&gt;=10</formula>
    </cfRule>
  </conditionalFormatting>
  <conditionalFormatting sqref="CT28">
    <cfRule type="expression" dxfId="85" priority="66">
      <formula>$G$12&gt;=11</formula>
    </cfRule>
  </conditionalFormatting>
  <conditionalFormatting sqref="CT29">
    <cfRule type="expression" dxfId="84" priority="65">
      <formula>$G$12&gt;=12</formula>
    </cfRule>
  </conditionalFormatting>
  <conditionalFormatting sqref="CT30">
    <cfRule type="expression" dxfId="83" priority="64">
      <formula>$G$12&gt;=13</formula>
    </cfRule>
  </conditionalFormatting>
  <conditionalFormatting sqref="CT31">
    <cfRule type="expression" dxfId="82" priority="63">
      <formula>$G$12&gt;=14</formula>
    </cfRule>
  </conditionalFormatting>
  <conditionalFormatting sqref="CT32">
    <cfRule type="expression" dxfId="81" priority="62">
      <formula>$G$12&gt;=15</formula>
    </cfRule>
  </conditionalFormatting>
  <conditionalFormatting sqref="CT33">
    <cfRule type="expression" dxfId="80" priority="61">
      <formula>$G$12&gt;=16</formula>
    </cfRule>
  </conditionalFormatting>
  <conditionalFormatting sqref="CT34">
    <cfRule type="expression" dxfId="79" priority="60">
      <formula>$G$12&gt;=17</formula>
    </cfRule>
  </conditionalFormatting>
  <conditionalFormatting sqref="CT35">
    <cfRule type="expression" dxfId="78" priority="59">
      <formula>$G$12&gt;=18</formula>
    </cfRule>
  </conditionalFormatting>
  <conditionalFormatting sqref="CT36">
    <cfRule type="expression" dxfId="77" priority="58">
      <formula>$G$12&gt;=19</formula>
    </cfRule>
  </conditionalFormatting>
  <conditionalFormatting sqref="CT37">
    <cfRule type="expression" dxfId="76" priority="57">
      <formula>$G$12&gt;=20</formula>
    </cfRule>
  </conditionalFormatting>
  <conditionalFormatting sqref="CT38">
    <cfRule type="expression" dxfId="75" priority="56">
      <formula>$G$12&gt;=21</formula>
    </cfRule>
  </conditionalFormatting>
  <conditionalFormatting sqref="CT39">
    <cfRule type="expression" dxfId="74" priority="55">
      <formula>$G$12&gt;=22</formula>
    </cfRule>
  </conditionalFormatting>
  <conditionalFormatting sqref="CT40">
    <cfRule type="expression" dxfId="73" priority="54">
      <formula>$G$12&gt;=23</formula>
    </cfRule>
  </conditionalFormatting>
  <conditionalFormatting sqref="CT41">
    <cfRule type="expression" dxfId="72" priority="53">
      <formula>$G$12&gt;=24</formula>
    </cfRule>
  </conditionalFormatting>
  <conditionalFormatting sqref="CT42">
    <cfRule type="expression" dxfId="71" priority="52">
      <formula>$G$12&gt;=25</formula>
    </cfRule>
  </conditionalFormatting>
  <conditionalFormatting sqref="CT43">
    <cfRule type="expression" dxfId="70" priority="51">
      <formula>$G$12&gt;=26</formula>
    </cfRule>
  </conditionalFormatting>
  <conditionalFormatting sqref="CT44">
    <cfRule type="expression" dxfId="69" priority="50">
      <formula>$G$12&gt;=27</formula>
    </cfRule>
  </conditionalFormatting>
  <conditionalFormatting sqref="CT45">
    <cfRule type="expression" dxfId="68" priority="49">
      <formula>$G$12&gt;=28</formula>
    </cfRule>
  </conditionalFormatting>
  <conditionalFormatting sqref="CT46">
    <cfRule type="expression" dxfId="67" priority="48">
      <formula>$G$12&gt;=29</formula>
    </cfRule>
  </conditionalFormatting>
  <conditionalFormatting sqref="CT47">
    <cfRule type="expression" dxfId="66" priority="47">
      <formula>$G$12&gt;=30</formula>
    </cfRule>
  </conditionalFormatting>
  <conditionalFormatting sqref="CV18">
    <cfRule type="expression" dxfId="65" priority="46">
      <formula>$G$12&gt;=1</formula>
    </cfRule>
  </conditionalFormatting>
  <conditionalFormatting sqref="CV19">
    <cfRule type="expression" dxfId="64" priority="45">
      <formula>$G$12&gt;=2</formula>
    </cfRule>
  </conditionalFormatting>
  <conditionalFormatting sqref="CV20">
    <cfRule type="expression" dxfId="63" priority="44">
      <formula>$G$12&gt;=3</formula>
    </cfRule>
  </conditionalFormatting>
  <conditionalFormatting sqref="CV21">
    <cfRule type="expression" dxfId="62" priority="43">
      <formula>$G$12&gt;=4</formula>
    </cfRule>
  </conditionalFormatting>
  <conditionalFormatting sqref="CV22">
    <cfRule type="expression" dxfId="61" priority="42">
      <formula>$G$12&gt;=5</formula>
    </cfRule>
  </conditionalFormatting>
  <conditionalFormatting sqref="CV23">
    <cfRule type="expression" dxfId="60" priority="41">
      <formula>$G$12&gt;=6</formula>
    </cfRule>
  </conditionalFormatting>
  <conditionalFormatting sqref="CV24">
    <cfRule type="expression" dxfId="59" priority="40">
      <formula>$G$12&gt;=7</formula>
    </cfRule>
  </conditionalFormatting>
  <conditionalFormatting sqref="CV25">
    <cfRule type="expression" dxfId="58" priority="39">
      <formula>$G$12&gt;=8</formula>
    </cfRule>
  </conditionalFormatting>
  <conditionalFormatting sqref="CV26">
    <cfRule type="expression" dxfId="57" priority="38">
      <formula>$G$12&gt;=9</formula>
    </cfRule>
  </conditionalFormatting>
  <conditionalFormatting sqref="CV27">
    <cfRule type="expression" dxfId="56" priority="37">
      <formula>$G$12&gt;=10</formula>
    </cfRule>
  </conditionalFormatting>
  <conditionalFormatting sqref="CV28">
    <cfRule type="expression" dxfId="55" priority="36">
      <formula>$G$12&gt;=11</formula>
    </cfRule>
  </conditionalFormatting>
  <conditionalFormatting sqref="CV29">
    <cfRule type="expression" dxfId="54" priority="35">
      <formula>$G$12&gt;=12</formula>
    </cfRule>
  </conditionalFormatting>
  <conditionalFormatting sqref="CV30">
    <cfRule type="expression" dxfId="53" priority="34">
      <formula>$G$12&gt;=13</formula>
    </cfRule>
  </conditionalFormatting>
  <conditionalFormatting sqref="CV31">
    <cfRule type="expression" dxfId="52" priority="33">
      <formula>$G$12&gt;=14</formula>
    </cfRule>
  </conditionalFormatting>
  <conditionalFormatting sqref="CV32">
    <cfRule type="expression" dxfId="51" priority="32">
      <formula>$G$12&gt;=15</formula>
    </cfRule>
  </conditionalFormatting>
  <conditionalFormatting sqref="CV33">
    <cfRule type="expression" dxfId="50" priority="31">
      <formula>$G$12&gt;=16</formula>
    </cfRule>
  </conditionalFormatting>
  <conditionalFormatting sqref="CV34">
    <cfRule type="expression" dxfId="49" priority="30">
      <formula>$G$12&gt;=17</formula>
    </cfRule>
  </conditionalFormatting>
  <conditionalFormatting sqref="CV35">
    <cfRule type="expression" dxfId="48" priority="29">
      <formula>$G$12&gt;=18</formula>
    </cfRule>
  </conditionalFormatting>
  <conditionalFormatting sqref="CV36">
    <cfRule type="expression" dxfId="47" priority="28">
      <formula>$G$12&gt;=19</formula>
    </cfRule>
  </conditionalFormatting>
  <conditionalFormatting sqref="CV37">
    <cfRule type="expression" dxfId="46" priority="27">
      <formula>$G$12&gt;=20</formula>
    </cfRule>
  </conditionalFormatting>
  <conditionalFormatting sqref="CV38">
    <cfRule type="expression" dxfId="45" priority="26">
      <formula>$G$12&gt;=21</formula>
    </cfRule>
  </conditionalFormatting>
  <conditionalFormatting sqref="CV39">
    <cfRule type="expression" dxfId="44" priority="25">
      <formula>$G$12&gt;=22</formula>
    </cfRule>
  </conditionalFormatting>
  <conditionalFormatting sqref="CV40">
    <cfRule type="expression" dxfId="43" priority="24">
      <formula>$G$12&gt;=23</formula>
    </cfRule>
  </conditionalFormatting>
  <conditionalFormatting sqref="CV41">
    <cfRule type="expression" dxfId="42" priority="23">
      <formula>$G$12&gt;=24</formula>
    </cfRule>
  </conditionalFormatting>
  <conditionalFormatting sqref="CV42">
    <cfRule type="expression" dxfId="41" priority="22">
      <formula>$G$12&gt;=25</formula>
    </cfRule>
  </conditionalFormatting>
  <conditionalFormatting sqref="CV43">
    <cfRule type="expression" dxfId="40" priority="21">
      <formula>$G$12&gt;=26</formula>
    </cfRule>
  </conditionalFormatting>
  <conditionalFormatting sqref="CV44">
    <cfRule type="expression" dxfId="39" priority="20">
      <formula>$G$12&gt;=27</formula>
    </cfRule>
  </conditionalFormatting>
  <conditionalFormatting sqref="CV45">
    <cfRule type="expression" dxfId="38" priority="19">
      <formula>$G$12&gt;=28</formula>
    </cfRule>
  </conditionalFormatting>
  <conditionalFormatting sqref="CV46">
    <cfRule type="expression" dxfId="37" priority="18">
      <formula>$G$12&gt;=29</formula>
    </cfRule>
  </conditionalFormatting>
  <conditionalFormatting sqref="CV47">
    <cfRule type="expression" dxfId="36" priority="17">
      <formula>$G$12&gt;=30</formula>
    </cfRule>
  </conditionalFormatting>
  <conditionalFormatting sqref="BI108">
    <cfRule type="expression" dxfId="35" priority="9">
      <formula>$BL$11="No"</formula>
    </cfRule>
  </conditionalFormatting>
  <conditionalFormatting sqref="BI108">
    <cfRule type="expression" dxfId="34" priority="10">
      <formula>$J$11="No"</formula>
    </cfRule>
  </conditionalFormatting>
  <conditionalFormatting sqref="D18:D23 N18:N23 V18:BB23">
    <cfRule type="expression" dxfId="33" priority="1318">
      <formula>AND(#REF!=0,#REF!=0,#REF!=0,#REF!=0,#REF!=0,#REF!=0)</formula>
    </cfRule>
  </conditionalFormatting>
  <pageMargins left="0.7" right="0.7" top="0.75" bottom="0.75" header="0.3" footer="0.3"/>
  <pageSetup paperSize="9" orientation="portrait" r:id="rId1"/>
  <ignoredErrors>
    <ignoredError sqref="BH18:BH47 BJ18:BJ47" unlockedFormula="1"/>
  </ignoredErrors>
  <drawing r:id="rId2"/>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300-000000000000}">
          <x14:formula1>
            <xm:f>Data!$D$24:$D$26</xm:f>
          </x14:formula1>
          <xm:sqref>Q134:Q142 Q127:Q129</xm:sqref>
        </x14:dataValidation>
        <x14:dataValidation type="list" allowBlank="1" showInputMessage="1" showErrorMessage="1" xr:uid="{00000000-0002-0000-0300-000001000000}">
          <x14:formula1>
            <xm:f>Data!$G$24:$G$30</xm:f>
          </x14:formula1>
          <xm:sqref>I122:J122</xm:sqref>
        </x14:dataValidation>
        <x14:dataValidation type="list" allowBlank="1" showInputMessage="1" showErrorMessage="1" xr:uid="{00000000-0002-0000-0300-000002000000}">
          <x14:formula1>
            <xm:f>Data!$E$3:$E$21</xm:f>
          </x14:formula1>
          <xm:sqref>G18:H47 O18:P47</xm:sqref>
        </x14:dataValidation>
        <x14:dataValidation type="list" allowBlank="1" showInputMessage="1" showErrorMessage="1" xr:uid="{00000000-0002-0000-0300-000003000000}">
          <x14:formula1>
            <xm:f>Data!$D$25:$D$26</xm:f>
          </x14:formula1>
          <xm:sqref>BL11</xm:sqref>
        </x14:dataValidation>
        <x14:dataValidation type="list" allowBlank="1" showInputMessage="1" showErrorMessage="1" xr:uid="{00000000-0002-0000-0300-000004000000}">
          <x14:formula1>
            <xm:f>Data!$H$24:$H$27</xm:f>
          </x14:formula1>
          <xm:sqref>S118:U120 S122:U122</xm:sqref>
        </x14:dataValidation>
        <x14:dataValidation type="list" allowBlank="1" showInputMessage="1" showErrorMessage="1" xr:uid="{00000000-0002-0000-0300-000005000000}">
          <x14:formula1>
            <xm:f>Data!$D$34:$D$37</xm:f>
          </x14:formula1>
          <xm:sqref>X134:BA142 X127:BA129</xm:sqref>
        </x14:dataValidation>
        <x14:dataValidation type="list" allowBlank="1" showInputMessage="1" showErrorMessage="1" xr:uid="{00000000-0002-0000-0300-000006000000}">
          <x14:formula1>
            <xm:f>Data!$E$35:$E$38</xm:f>
          </x14:formula1>
          <xm:sqref>I118:J119</xm:sqref>
        </x14:dataValidation>
        <x14:dataValidation type="list" allowBlank="1" showInputMessage="1" showErrorMessage="1" xr:uid="{00000000-0002-0000-0300-000007000000}">
          <x14:formula1>
            <xm:f>Data!$I$24:$I$54</xm:f>
          </x14:formula1>
          <xm:sqref>K18:K47 S18:S47</xm:sqref>
        </x14:dataValidation>
        <x14:dataValidation type="list" allowBlank="1" showInputMessage="1" showErrorMessage="1" xr:uid="{00000000-0002-0000-0300-000008000000}">
          <x14:formula1>
            <xm:f>Data!$H$29:$H$32</xm:f>
          </x14:formula1>
          <xm:sqref>S121:U121</xm:sqref>
        </x14:dataValidation>
        <x14:dataValidation type="list" allowBlank="1" showInputMessage="1" showErrorMessage="1" xr:uid="{00000000-0002-0000-0300-000009000000}">
          <x14:formula1>
            <xm:f>Data!$D$41:$D$44</xm:f>
          </x14:formula1>
          <xm:sqref>BL15:BN15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24787-D32C-4089-BD18-B18435087BE8}">
  <sheetPr>
    <tabColor theme="0"/>
  </sheetPr>
  <dimension ref="A1:H113"/>
  <sheetViews>
    <sheetView workbookViewId="0">
      <selection activeCell="E1" sqref="E1:E2"/>
    </sheetView>
  </sheetViews>
  <sheetFormatPr defaultRowHeight="12.5" x14ac:dyDescent="0.25"/>
  <cols>
    <col min="2" max="2" width="8.453125" customWidth="1"/>
    <col min="3" max="3" width="26.7265625" customWidth="1"/>
    <col min="4" max="4" width="18.6328125" customWidth="1"/>
    <col min="5" max="5" width="23.36328125" bestFit="1" customWidth="1"/>
  </cols>
  <sheetData>
    <row r="1" spans="1:5" x14ac:dyDescent="0.25">
      <c r="A1" s="450"/>
      <c r="B1" s="450" t="s">
        <v>535</v>
      </c>
      <c r="C1" s="450"/>
      <c r="D1" s="450" t="s">
        <v>536</v>
      </c>
      <c r="E1" s="450" t="s">
        <v>634</v>
      </c>
    </row>
    <row r="2" spans="1:5" x14ac:dyDescent="0.25">
      <c r="A2" s="450"/>
      <c r="B2" s="450" t="s">
        <v>537</v>
      </c>
      <c r="C2" s="450"/>
      <c r="D2" s="450"/>
      <c r="E2" s="450"/>
    </row>
    <row r="3" spans="1:5" x14ac:dyDescent="0.25">
      <c r="A3" s="77"/>
      <c r="B3" s="78">
        <v>1</v>
      </c>
      <c r="C3" s="78" t="s">
        <v>538</v>
      </c>
      <c r="D3" s="79">
        <v>1</v>
      </c>
      <c r="E3" s="79"/>
    </row>
    <row r="4" spans="1:5" x14ac:dyDescent="0.25">
      <c r="A4" s="77"/>
      <c r="B4" s="77">
        <v>1.1000000000000001</v>
      </c>
      <c r="C4" s="77" t="s">
        <v>539</v>
      </c>
      <c r="D4" s="77" t="s">
        <v>75</v>
      </c>
      <c r="E4" s="79">
        <v>1127</v>
      </c>
    </row>
    <row r="5" spans="1:5" x14ac:dyDescent="0.25">
      <c r="A5" s="77"/>
      <c r="B5" s="77">
        <v>1.2</v>
      </c>
      <c r="C5" s="77" t="s">
        <v>540</v>
      </c>
      <c r="D5" s="77" t="s">
        <v>75</v>
      </c>
      <c r="E5" s="79">
        <v>1127</v>
      </c>
    </row>
    <row r="6" spans="1:5" ht="21" x14ac:dyDescent="0.25">
      <c r="A6" s="77"/>
      <c r="B6" s="77">
        <v>1.3</v>
      </c>
      <c r="C6" s="77" t="s">
        <v>541</v>
      </c>
      <c r="D6" s="77" t="s">
        <v>542</v>
      </c>
      <c r="E6" s="79">
        <v>1127</v>
      </c>
    </row>
    <row r="7" spans="1:5" x14ac:dyDescent="0.25">
      <c r="A7" s="77"/>
      <c r="B7" s="77">
        <v>1.4</v>
      </c>
      <c r="C7" s="77" t="s">
        <v>169</v>
      </c>
      <c r="D7" s="77"/>
      <c r="E7" s="79">
        <v>1127</v>
      </c>
    </row>
    <row r="8" spans="1:5" x14ac:dyDescent="0.25">
      <c r="A8" s="77"/>
      <c r="B8" s="77"/>
      <c r="C8" s="77"/>
      <c r="D8" s="77"/>
      <c r="E8" s="79">
        <v>1127</v>
      </c>
    </row>
    <row r="9" spans="1:5" x14ac:dyDescent="0.25">
      <c r="A9" s="77"/>
      <c r="B9" s="78">
        <v>2</v>
      </c>
      <c r="C9" s="78" t="s">
        <v>543</v>
      </c>
      <c r="D9" s="79" t="s">
        <v>544</v>
      </c>
      <c r="E9" s="79">
        <v>1127</v>
      </c>
    </row>
    <row r="10" spans="1:5" x14ac:dyDescent="0.25">
      <c r="A10" s="77"/>
      <c r="B10" s="77">
        <v>2.1</v>
      </c>
      <c r="C10" s="77" t="s">
        <v>545</v>
      </c>
      <c r="D10" s="77" t="s">
        <v>546</v>
      </c>
      <c r="E10" s="79">
        <v>1127</v>
      </c>
    </row>
    <row r="11" spans="1:5" x14ac:dyDescent="0.25">
      <c r="A11" s="77"/>
      <c r="B11" s="77">
        <v>2.2000000000000002</v>
      </c>
      <c r="C11" s="77" t="s">
        <v>547</v>
      </c>
      <c r="D11" s="77" t="s">
        <v>548</v>
      </c>
      <c r="E11" s="79">
        <v>1127</v>
      </c>
    </row>
    <row r="12" spans="1:5" x14ac:dyDescent="0.25">
      <c r="A12" s="77"/>
      <c r="B12" s="77">
        <v>2.2999999999999998</v>
      </c>
      <c r="C12" s="77" t="s">
        <v>549</v>
      </c>
      <c r="D12" s="77"/>
      <c r="E12" s="79">
        <v>1127</v>
      </c>
    </row>
    <row r="13" spans="1:5" x14ac:dyDescent="0.25">
      <c r="A13" s="77"/>
      <c r="B13" s="77">
        <v>2.4</v>
      </c>
      <c r="C13" s="77" t="s">
        <v>550</v>
      </c>
      <c r="D13" s="77"/>
      <c r="E13" s="79">
        <v>1127</v>
      </c>
    </row>
    <row r="14" spans="1:5" x14ac:dyDescent="0.25">
      <c r="A14" s="77"/>
      <c r="B14" s="77">
        <v>2.5</v>
      </c>
      <c r="C14" s="77" t="s">
        <v>169</v>
      </c>
      <c r="D14" s="77"/>
      <c r="E14" s="79">
        <v>1127</v>
      </c>
    </row>
    <row r="15" spans="1:5" x14ac:dyDescent="0.25">
      <c r="A15" s="77"/>
      <c r="B15" s="77"/>
      <c r="C15" s="77"/>
      <c r="D15" s="77"/>
      <c r="E15" s="79">
        <v>1127</v>
      </c>
    </row>
    <row r="16" spans="1:5" ht="21" x14ac:dyDescent="0.25">
      <c r="A16" s="77"/>
      <c r="B16" s="78">
        <v>3</v>
      </c>
      <c r="C16" s="78" t="s">
        <v>551</v>
      </c>
      <c r="D16" s="79" t="s">
        <v>552</v>
      </c>
      <c r="E16" s="79">
        <v>1127</v>
      </c>
    </row>
    <row r="17" spans="1:5" ht="21" x14ac:dyDescent="0.25">
      <c r="A17" s="77"/>
      <c r="B17" s="77">
        <v>3.1</v>
      </c>
      <c r="C17" s="77" t="s">
        <v>553</v>
      </c>
      <c r="D17" s="77" t="s">
        <v>554</v>
      </c>
      <c r="E17" s="79">
        <v>1127</v>
      </c>
    </row>
    <row r="18" spans="1:5" x14ac:dyDescent="0.25">
      <c r="A18" s="77"/>
      <c r="B18" s="77">
        <v>3.2</v>
      </c>
      <c r="C18" s="77" t="s">
        <v>555</v>
      </c>
      <c r="D18" s="77"/>
      <c r="E18" s="79">
        <v>1127</v>
      </c>
    </row>
    <row r="19" spans="1:5" x14ac:dyDescent="0.25">
      <c r="A19" s="77"/>
      <c r="B19" s="77">
        <v>3.3</v>
      </c>
      <c r="C19" s="77" t="s">
        <v>556</v>
      </c>
      <c r="D19" s="77"/>
      <c r="E19" s="79">
        <v>1127</v>
      </c>
    </row>
    <row r="20" spans="1:5" x14ac:dyDescent="0.25">
      <c r="A20" s="77"/>
      <c r="B20" s="77">
        <v>3.4</v>
      </c>
      <c r="C20" s="77" t="s">
        <v>557</v>
      </c>
      <c r="D20" s="77" t="s">
        <v>558</v>
      </c>
      <c r="E20" s="79">
        <v>1127</v>
      </c>
    </row>
    <row r="21" spans="1:5" x14ac:dyDescent="0.25">
      <c r="A21" s="77"/>
      <c r="B21" s="77">
        <v>3.5</v>
      </c>
      <c r="C21" s="77" t="s">
        <v>559</v>
      </c>
      <c r="D21" s="77" t="s">
        <v>75</v>
      </c>
      <c r="E21" s="79">
        <v>1127</v>
      </c>
    </row>
    <row r="22" spans="1:5" x14ac:dyDescent="0.25">
      <c r="A22" s="77"/>
      <c r="B22" s="77">
        <v>3.6</v>
      </c>
      <c r="C22" s="77" t="s">
        <v>560</v>
      </c>
      <c r="D22" s="77" t="s">
        <v>561</v>
      </c>
      <c r="E22" s="79">
        <v>1127</v>
      </c>
    </row>
    <row r="23" spans="1:5" x14ac:dyDescent="0.25">
      <c r="A23" s="77"/>
      <c r="B23" s="77">
        <v>3.7</v>
      </c>
      <c r="C23" s="77" t="s">
        <v>562</v>
      </c>
      <c r="D23" s="77" t="s">
        <v>563</v>
      </c>
      <c r="E23" s="79">
        <v>1127</v>
      </c>
    </row>
    <row r="24" spans="1:5" x14ac:dyDescent="0.25">
      <c r="A24" s="77"/>
      <c r="B24" s="77">
        <v>3.8</v>
      </c>
      <c r="C24" s="77" t="s">
        <v>564</v>
      </c>
      <c r="D24" s="77"/>
      <c r="E24" s="79">
        <v>1127</v>
      </c>
    </row>
    <row r="25" spans="1:5" x14ac:dyDescent="0.25">
      <c r="A25" s="77"/>
      <c r="B25" s="77">
        <v>3.9</v>
      </c>
      <c r="C25" s="77" t="s">
        <v>565</v>
      </c>
      <c r="D25" s="77"/>
      <c r="E25" s="79">
        <v>1127</v>
      </c>
    </row>
    <row r="26" spans="1:5" x14ac:dyDescent="0.25">
      <c r="A26" s="77"/>
      <c r="B26" s="77">
        <v>3.1</v>
      </c>
      <c r="C26" s="77" t="s">
        <v>566</v>
      </c>
      <c r="D26" s="77" t="s">
        <v>567</v>
      </c>
      <c r="E26" s="79">
        <v>1127</v>
      </c>
    </row>
    <row r="27" spans="1:5" x14ac:dyDescent="0.25">
      <c r="A27" s="77"/>
      <c r="B27" s="77">
        <v>3.11</v>
      </c>
      <c r="C27" s="77" t="s">
        <v>169</v>
      </c>
      <c r="D27" s="77"/>
      <c r="E27" s="79">
        <v>1127</v>
      </c>
    </row>
    <row r="28" spans="1:5" x14ac:dyDescent="0.25">
      <c r="A28" s="77"/>
      <c r="B28" s="77"/>
      <c r="C28" s="77"/>
      <c r="D28" s="77"/>
      <c r="E28" s="79">
        <v>1127</v>
      </c>
    </row>
    <row r="29" spans="1:5" x14ac:dyDescent="0.25">
      <c r="A29" s="77"/>
      <c r="B29" s="80">
        <v>4</v>
      </c>
      <c r="C29" s="80" t="s">
        <v>568</v>
      </c>
      <c r="D29" s="77" t="s">
        <v>569</v>
      </c>
      <c r="E29" s="79">
        <v>1127</v>
      </c>
    </row>
    <row r="30" spans="1:5" x14ac:dyDescent="0.25">
      <c r="A30" s="77"/>
      <c r="B30" s="77">
        <v>4.0999999999999996</v>
      </c>
      <c r="C30" s="77" t="s">
        <v>570</v>
      </c>
      <c r="D30" s="77" t="s">
        <v>571</v>
      </c>
      <c r="E30" s="79">
        <v>1127</v>
      </c>
    </row>
    <row r="31" spans="1:5" x14ac:dyDescent="0.25">
      <c r="A31" s="77"/>
      <c r="B31" s="77">
        <v>4.2</v>
      </c>
      <c r="C31" s="77" t="s">
        <v>572</v>
      </c>
      <c r="D31" s="77" t="s">
        <v>573</v>
      </c>
      <c r="E31" s="79">
        <v>1127</v>
      </c>
    </row>
    <row r="32" spans="1:5" x14ac:dyDescent="0.25">
      <c r="A32" s="77"/>
      <c r="B32" s="77">
        <v>4.3</v>
      </c>
      <c r="C32" s="77" t="s">
        <v>574</v>
      </c>
      <c r="D32" s="77" t="s">
        <v>575</v>
      </c>
      <c r="E32" s="79">
        <v>1127</v>
      </c>
    </row>
    <row r="33" spans="1:5" x14ac:dyDescent="0.25">
      <c r="A33" s="77"/>
      <c r="B33" s="77">
        <v>4.4000000000000004</v>
      </c>
      <c r="C33" s="77" t="s">
        <v>576</v>
      </c>
      <c r="D33" s="77"/>
      <c r="E33" s="79">
        <v>1127</v>
      </c>
    </row>
    <row r="34" spans="1:5" x14ac:dyDescent="0.25">
      <c r="A34" s="77"/>
      <c r="B34" s="77">
        <v>4.5</v>
      </c>
      <c r="C34" s="77" t="s">
        <v>577</v>
      </c>
      <c r="D34" s="77"/>
      <c r="E34" s="79">
        <v>1127</v>
      </c>
    </row>
    <row r="35" spans="1:5" ht="21" x14ac:dyDescent="0.25">
      <c r="A35" s="77"/>
      <c r="B35" s="77">
        <v>4.5999999999999996</v>
      </c>
      <c r="C35" s="77" t="s">
        <v>578</v>
      </c>
      <c r="D35" s="77"/>
      <c r="E35" s="79">
        <v>1127</v>
      </c>
    </row>
    <row r="36" spans="1:5" ht="21" x14ac:dyDescent="0.25">
      <c r="A36" s="77"/>
      <c r="B36" s="77">
        <v>4.7</v>
      </c>
      <c r="C36" s="77" t="s">
        <v>579</v>
      </c>
      <c r="D36" s="77"/>
      <c r="E36" s="79">
        <v>1127</v>
      </c>
    </row>
    <row r="37" spans="1:5" x14ac:dyDescent="0.25">
      <c r="A37" s="77"/>
      <c r="B37" s="77">
        <v>4.8</v>
      </c>
      <c r="C37" s="77" t="s">
        <v>580</v>
      </c>
      <c r="D37" s="77"/>
      <c r="E37" s="79">
        <v>1127</v>
      </c>
    </row>
    <row r="38" spans="1:5" x14ac:dyDescent="0.25">
      <c r="A38" s="77"/>
      <c r="B38" s="77">
        <v>4.9000000000000004</v>
      </c>
      <c r="C38" s="77" t="s">
        <v>169</v>
      </c>
      <c r="D38" s="77"/>
      <c r="E38" s="79">
        <v>1127</v>
      </c>
    </row>
    <row r="39" spans="1:5" x14ac:dyDescent="0.25">
      <c r="A39" s="77"/>
      <c r="B39" s="77"/>
      <c r="C39" s="77"/>
      <c r="D39" s="77"/>
      <c r="E39" s="79">
        <v>1127</v>
      </c>
    </row>
    <row r="40" spans="1:5" x14ac:dyDescent="0.25">
      <c r="A40" s="77"/>
      <c r="B40" s="80">
        <v>5</v>
      </c>
      <c r="C40" s="80" t="s">
        <v>581</v>
      </c>
      <c r="D40" s="77">
        <v>4</v>
      </c>
      <c r="E40" s="79">
        <v>1127</v>
      </c>
    </row>
    <row r="41" spans="1:5" x14ac:dyDescent="0.25">
      <c r="A41" s="77"/>
      <c r="B41" s="77">
        <v>5.0999999999999996</v>
      </c>
      <c r="C41" s="77" t="s">
        <v>582</v>
      </c>
      <c r="D41" s="77">
        <v>4.2</v>
      </c>
      <c r="E41" s="79">
        <v>1127</v>
      </c>
    </row>
    <row r="42" spans="1:5" x14ac:dyDescent="0.25">
      <c r="A42" s="77"/>
      <c r="B42" s="77">
        <v>5.2</v>
      </c>
      <c r="C42" s="77" t="s">
        <v>583</v>
      </c>
      <c r="D42" s="77">
        <v>4.0999999999999996</v>
      </c>
      <c r="E42" s="79">
        <v>1127</v>
      </c>
    </row>
    <row r="43" spans="1:5" x14ac:dyDescent="0.25">
      <c r="A43" s="77"/>
      <c r="B43" s="77">
        <v>5.3</v>
      </c>
      <c r="C43" s="77" t="s">
        <v>584</v>
      </c>
      <c r="D43" s="77" t="s">
        <v>75</v>
      </c>
      <c r="E43" s="79">
        <v>1127</v>
      </c>
    </row>
    <row r="44" spans="1:5" x14ac:dyDescent="0.25">
      <c r="A44" s="77"/>
      <c r="B44" s="77">
        <v>5.4</v>
      </c>
      <c r="C44" s="77" t="s">
        <v>585</v>
      </c>
      <c r="D44" s="77"/>
      <c r="E44" s="79">
        <v>1127</v>
      </c>
    </row>
    <row r="45" spans="1:5" x14ac:dyDescent="0.25">
      <c r="A45" s="77"/>
      <c r="B45" s="77">
        <v>5.5</v>
      </c>
      <c r="C45" s="77" t="s">
        <v>169</v>
      </c>
      <c r="D45" s="77"/>
      <c r="E45" s="79">
        <v>1127</v>
      </c>
    </row>
    <row r="46" spans="1:5" x14ac:dyDescent="0.25">
      <c r="A46" s="77"/>
      <c r="B46" s="77"/>
      <c r="C46" s="77"/>
      <c r="D46" s="77"/>
      <c r="E46" s="79">
        <v>1127</v>
      </c>
    </row>
    <row r="47" spans="1:5" x14ac:dyDescent="0.25">
      <c r="A47" s="77"/>
      <c r="B47" s="80">
        <v>6</v>
      </c>
      <c r="C47" s="80" t="s">
        <v>586</v>
      </c>
      <c r="D47" s="77">
        <v>5.0999999999999996</v>
      </c>
      <c r="E47" s="79">
        <v>1127</v>
      </c>
    </row>
    <row r="48" spans="1:5" x14ac:dyDescent="0.25">
      <c r="A48" s="77"/>
      <c r="B48" s="77">
        <v>6.1</v>
      </c>
      <c r="C48" s="77" t="s">
        <v>190</v>
      </c>
      <c r="D48" s="77" t="s">
        <v>587</v>
      </c>
      <c r="E48" s="79">
        <v>1127</v>
      </c>
    </row>
    <row r="49" spans="1:8" x14ac:dyDescent="0.25">
      <c r="A49" s="77"/>
      <c r="B49" s="77">
        <v>6.2</v>
      </c>
      <c r="C49" s="77" t="s">
        <v>191</v>
      </c>
      <c r="D49" s="77" t="s">
        <v>588</v>
      </c>
      <c r="E49" s="79">
        <v>1127</v>
      </c>
    </row>
    <row r="50" spans="1:8" x14ac:dyDescent="0.25">
      <c r="A50" s="77"/>
      <c r="B50" s="77">
        <v>6.3</v>
      </c>
      <c r="C50" s="77" t="s">
        <v>589</v>
      </c>
      <c r="D50" s="77" t="s">
        <v>75</v>
      </c>
      <c r="E50" s="79">
        <v>1127</v>
      </c>
    </row>
    <row r="51" spans="1:8" x14ac:dyDescent="0.25">
      <c r="A51" s="77"/>
      <c r="B51" s="77">
        <v>6.4</v>
      </c>
      <c r="C51" s="77" t="s">
        <v>169</v>
      </c>
      <c r="D51" s="77"/>
      <c r="E51" s="79">
        <v>1127</v>
      </c>
    </row>
    <row r="52" spans="1:8" x14ac:dyDescent="0.25">
      <c r="A52" s="77"/>
      <c r="B52" s="77"/>
      <c r="C52" s="77"/>
      <c r="D52" s="77"/>
      <c r="E52" s="79">
        <v>1127</v>
      </c>
    </row>
    <row r="53" spans="1:8" x14ac:dyDescent="0.25">
      <c r="A53" s="77"/>
      <c r="B53" s="80">
        <v>7</v>
      </c>
      <c r="C53" s="80" t="s">
        <v>590</v>
      </c>
      <c r="D53" s="77">
        <v>5.2</v>
      </c>
      <c r="E53" s="79">
        <v>1127</v>
      </c>
      <c r="H53" s="3"/>
    </row>
    <row r="54" spans="1:8" ht="21" x14ac:dyDescent="0.25">
      <c r="A54" s="77"/>
      <c r="B54" s="77">
        <v>7.1</v>
      </c>
      <c r="C54" s="77" t="s">
        <v>591</v>
      </c>
      <c r="D54" s="77" t="s">
        <v>592</v>
      </c>
      <c r="E54" s="79">
        <v>1127</v>
      </c>
    </row>
    <row r="55" spans="1:8" x14ac:dyDescent="0.25">
      <c r="A55" s="77"/>
      <c r="B55" s="77">
        <v>7.2</v>
      </c>
      <c r="C55" s="77" t="s">
        <v>593</v>
      </c>
      <c r="D55" s="77" t="s">
        <v>594</v>
      </c>
      <c r="E55" s="79">
        <v>1127</v>
      </c>
    </row>
    <row r="56" spans="1:8" ht="21" x14ac:dyDescent="0.25">
      <c r="A56" s="77"/>
      <c r="B56" s="77">
        <v>7.3</v>
      </c>
      <c r="C56" s="77" t="s">
        <v>667</v>
      </c>
      <c r="D56" s="77" t="s">
        <v>595</v>
      </c>
      <c r="E56" s="79">
        <v>1127</v>
      </c>
      <c r="H56">
        <f>AVERAGE(E47,E53,E59)</f>
        <v>1127</v>
      </c>
    </row>
    <row r="57" spans="1:8" x14ac:dyDescent="0.25">
      <c r="A57" s="77"/>
      <c r="B57" s="77">
        <v>7.4</v>
      </c>
      <c r="C57" s="77" t="s">
        <v>169</v>
      </c>
      <c r="D57" s="77"/>
      <c r="E57" s="79">
        <v>1127</v>
      </c>
      <c r="H57">
        <v>2871</v>
      </c>
    </row>
    <row r="58" spans="1:8" x14ac:dyDescent="0.25">
      <c r="A58" s="77"/>
      <c r="B58" s="77"/>
      <c r="C58" s="77"/>
      <c r="D58" s="77"/>
      <c r="E58" s="79">
        <v>1127</v>
      </c>
    </row>
    <row r="59" spans="1:8" x14ac:dyDescent="0.25">
      <c r="A59" s="77"/>
      <c r="B59" s="80">
        <v>8</v>
      </c>
      <c r="C59" s="80" t="s">
        <v>596</v>
      </c>
      <c r="D59" s="77">
        <v>6</v>
      </c>
      <c r="E59" s="79">
        <v>1127</v>
      </c>
    </row>
    <row r="60" spans="1:8" x14ac:dyDescent="0.25">
      <c r="A60" s="77"/>
      <c r="B60" s="77">
        <v>8.1</v>
      </c>
      <c r="C60" s="77" t="s">
        <v>597</v>
      </c>
      <c r="D60" s="77">
        <v>6.3</v>
      </c>
      <c r="E60" s="79">
        <v>1127</v>
      </c>
    </row>
    <row r="61" spans="1:8" ht="21" x14ac:dyDescent="0.25">
      <c r="A61" s="77"/>
      <c r="B61" s="77">
        <v>8.1999999999999993</v>
      </c>
      <c r="C61" s="77" t="s">
        <v>598</v>
      </c>
      <c r="D61" s="77">
        <v>6.2</v>
      </c>
      <c r="E61" s="79">
        <v>1127</v>
      </c>
    </row>
    <row r="62" spans="1:8" x14ac:dyDescent="0.25">
      <c r="A62" s="77"/>
      <c r="B62" s="77">
        <v>8.3000000000000007</v>
      </c>
      <c r="C62" s="77" t="s">
        <v>599</v>
      </c>
      <c r="D62" s="77"/>
      <c r="E62" s="79">
        <v>1127</v>
      </c>
    </row>
    <row r="63" spans="1:8" x14ac:dyDescent="0.25">
      <c r="A63" s="77"/>
      <c r="B63" s="77">
        <v>8.4</v>
      </c>
      <c r="C63" s="77" t="s">
        <v>600</v>
      </c>
      <c r="D63" s="77">
        <v>6.1</v>
      </c>
      <c r="E63" s="79">
        <v>1127</v>
      </c>
    </row>
    <row r="64" spans="1:8" x14ac:dyDescent="0.25">
      <c r="A64" s="77"/>
      <c r="B64" s="77">
        <v>8.5</v>
      </c>
      <c r="C64" s="77" t="s">
        <v>169</v>
      </c>
      <c r="D64" s="77">
        <v>6.4</v>
      </c>
      <c r="E64" s="79">
        <v>1127</v>
      </c>
    </row>
    <row r="65" spans="1:5" x14ac:dyDescent="0.25">
      <c r="A65" s="77"/>
      <c r="B65" s="77"/>
      <c r="C65" s="77"/>
      <c r="D65" s="77"/>
      <c r="E65" s="79">
        <v>1127</v>
      </c>
    </row>
    <row r="66" spans="1:5" x14ac:dyDescent="0.25">
      <c r="A66" s="77"/>
      <c r="B66" s="80">
        <v>9</v>
      </c>
      <c r="C66" s="80" t="s">
        <v>601</v>
      </c>
      <c r="D66" s="77">
        <v>7</v>
      </c>
      <c r="E66" s="79">
        <v>1127</v>
      </c>
    </row>
    <row r="67" spans="1:5" x14ac:dyDescent="0.25">
      <c r="A67" s="77"/>
      <c r="B67" s="77">
        <v>9.1</v>
      </c>
      <c r="C67" s="77" t="s">
        <v>602</v>
      </c>
      <c r="D67" s="77">
        <v>7.1</v>
      </c>
      <c r="E67" s="79">
        <v>1127</v>
      </c>
    </row>
    <row r="68" spans="1:5" x14ac:dyDescent="0.25">
      <c r="A68" s="77"/>
      <c r="B68" s="77">
        <v>9.1999999999999993</v>
      </c>
      <c r="C68" s="77" t="s">
        <v>603</v>
      </c>
      <c r="D68" s="77">
        <v>7.3</v>
      </c>
      <c r="E68" s="79">
        <v>1127</v>
      </c>
    </row>
    <row r="69" spans="1:5" x14ac:dyDescent="0.25">
      <c r="A69" s="77"/>
      <c r="B69" s="77">
        <v>9.3000000000000007</v>
      </c>
      <c r="C69" s="77" t="s">
        <v>604</v>
      </c>
      <c r="D69" s="77">
        <v>7.4</v>
      </c>
      <c r="E69" s="79">
        <v>1127</v>
      </c>
    </row>
    <row r="70" spans="1:5" x14ac:dyDescent="0.25">
      <c r="A70" s="77"/>
      <c r="B70" s="77">
        <v>9.4</v>
      </c>
      <c r="C70" s="77" t="s">
        <v>605</v>
      </c>
      <c r="D70" s="77">
        <v>7.1</v>
      </c>
      <c r="E70" s="79">
        <v>1127</v>
      </c>
    </row>
    <row r="71" spans="1:5" x14ac:dyDescent="0.25">
      <c r="A71" s="77"/>
      <c r="B71" s="77">
        <v>9.5</v>
      </c>
      <c r="C71" s="77" t="s">
        <v>169</v>
      </c>
      <c r="D71" s="77"/>
      <c r="E71" s="79">
        <v>1127</v>
      </c>
    </row>
    <row r="72" spans="1:5" x14ac:dyDescent="0.25">
      <c r="A72" s="77"/>
      <c r="B72" s="77"/>
      <c r="C72" s="77"/>
      <c r="D72" s="77"/>
      <c r="E72" s="79">
        <v>1127</v>
      </c>
    </row>
    <row r="73" spans="1:5" x14ac:dyDescent="0.25">
      <c r="A73" s="77"/>
      <c r="B73" s="80">
        <v>10</v>
      </c>
      <c r="C73" s="80" t="s">
        <v>606</v>
      </c>
      <c r="D73" s="77">
        <v>8</v>
      </c>
      <c r="E73" s="79">
        <v>1127</v>
      </c>
    </row>
    <row r="74" spans="1:5" x14ac:dyDescent="0.25">
      <c r="A74" s="77"/>
      <c r="B74" s="77">
        <v>10.1</v>
      </c>
      <c r="C74" s="77" t="s">
        <v>607</v>
      </c>
      <c r="D74" s="77">
        <v>8.1999999999999993</v>
      </c>
      <c r="E74" s="79">
        <v>1127</v>
      </c>
    </row>
    <row r="75" spans="1:5" x14ac:dyDescent="0.25">
      <c r="A75" s="77"/>
      <c r="B75" s="77">
        <v>10.199999999999999</v>
      </c>
      <c r="C75" s="77" t="s">
        <v>608</v>
      </c>
      <c r="D75" s="77">
        <v>8.1</v>
      </c>
      <c r="E75" s="79">
        <v>1127</v>
      </c>
    </row>
    <row r="76" spans="1:5" x14ac:dyDescent="0.25">
      <c r="A76" s="77"/>
      <c r="B76" s="77">
        <v>10.3</v>
      </c>
      <c r="C76" s="77" t="s">
        <v>169</v>
      </c>
      <c r="D76" s="77"/>
      <c r="E76" s="79">
        <v>1127</v>
      </c>
    </row>
    <row r="77" spans="1:5" x14ac:dyDescent="0.25">
      <c r="A77" s="77"/>
      <c r="B77" s="77"/>
      <c r="C77" s="77"/>
      <c r="D77" s="77"/>
      <c r="E77" s="79">
        <v>1127</v>
      </c>
    </row>
    <row r="78" spans="1:5" x14ac:dyDescent="0.25">
      <c r="A78" s="77"/>
      <c r="B78" s="80">
        <v>11</v>
      </c>
      <c r="C78" s="80" t="s">
        <v>609</v>
      </c>
      <c r="D78" s="77">
        <v>9</v>
      </c>
      <c r="E78" s="79">
        <v>1127</v>
      </c>
    </row>
    <row r="79" spans="1:5" x14ac:dyDescent="0.25">
      <c r="A79" s="77"/>
      <c r="B79" s="77">
        <v>11.1</v>
      </c>
      <c r="C79" s="77" t="s">
        <v>610</v>
      </c>
      <c r="D79" s="77" t="s">
        <v>75</v>
      </c>
      <c r="E79" s="79">
        <v>1127</v>
      </c>
    </row>
    <row r="80" spans="1:5" x14ac:dyDescent="0.25">
      <c r="A80" s="77"/>
      <c r="B80" s="77">
        <v>11.2</v>
      </c>
      <c r="C80" s="77" t="s">
        <v>611</v>
      </c>
      <c r="D80" s="77">
        <v>9.1</v>
      </c>
      <c r="E80" s="79">
        <v>1127</v>
      </c>
    </row>
    <row r="81" spans="1:5" x14ac:dyDescent="0.25">
      <c r="A81" s="77"/>
      <c r="B81" s="77">
        <v>11.3</v>
      </c>
      <c r="C81" s="77" t="s">
        <v>169</v>
      </c>
      <c r="D81" s="77"/>
      <c r="E81" s="79">
        <v>1127</v>
      </c>
    </row>
    <row r="82" spans="1:5" x14ac:dyDescent="0.25">
      <c r="A82" s="77"/>
      <c r="B82" s="77"/>
      <c r="C82" s="77"/>
      <c r="D82" s="77"/>
      <c r="E82" s="79">
        <v>1127</v>
      </c>
    </row>
    <row r="83" spans="1:5" ht="21" x14ac:dyDescent="0.25">
      <c r="A83" s="77"/>
      <c r="B83" s="80">
        <v>12</v>
      </c>
      <c r="C83" s="80" t="s">
        <v>612</v>
      </c>
      <c r="D83" s="77">
        <v>10</v>
      </c>
      <c r="E83" s="79">
        <v>1127</v>
      </c>
    </row>
    <row r="84" spans="1:5" x14ac:dyDescent="0.25">
      <c r="A84" s="77"/>
      <c r="B84" s="77">
        <v>12.1</v>
      </c>
      <c r="C84" s="77" t="s">
        <v>613</v>
      </c>
      <c r="D84" s="77">
        <v>10</v>
      </c>
      <c r="E84" s="79">
        <v>1127</v>
      </c>
    </row>
    <row r="85" spans="1:5" x14ac:dyDescent="0.25">
      <c r="A85" s="77"/>
      <c r="B85" s="77">
        <v>12.2</v>
      </c>
      <c r="C85" s="77" t="s">
        <v>614</v>
      </c>
      <c r="D85" s="77"/>
      <c r="E85" s="79">
        <v>1127</v>
      </c>
    </row>
    <row r="86" spans="1:5" x14ac:dyDescent="0.25">
      <c r="A86" s="77"/>
      <c r="B86" s="77">
        <v>12.3</v>
      </c>
      <c r="C86" s="77" t="s">
        <v>615</v>
      </c>
      <c r="D86" s="77"/>
      <c r="E86" s="79">
        <v>1127</v>
      </c>
    </row>
    <row r="87" spans="1:5" x14ac:dyDescent="0.25">
      <c r="A87" s="77"/>
      <c r="B87" s="77">
        <v>12.4</v>
      </c>
      <c r="C87" s="77" t="s">
        <v>206</v>
      </c>
      <c r="D87" s="77">
        <v>10</v>
      </c>
      <c r="E87" s="79">
        <v>1127</v>
      </c>
    </row>
    <row r="88" spans="1:5" x14ac:dyDescent="0.25">
      <c r="A88" s="77"/>
      <c r="B88" s="77">
        <v>12.5</v>
      </c>
      <c r="C88" s="77" t="s">
        <v>169</v>
      </c>
      <c r="D88" s="77"/>
      <c r="E88" s="79">
        <v>1127</v>
      </c>
    </row>
    <row r="89" spans="1:5" x14ac:dyDescent="0.25">
      <c r="A89" s="77"/>
      <c r="B89" s="77"/>
      <c r="C89" s="77"/>
      <c r="D89" s="77"/>
      <c r="E89" s="79">
        <v>1127</v>
      </c>
    </row>
    <row r="90" spans="1:5" ht="21" x14ac:dyDescent="0.25">
      <c r="A90" s="77"/>
      <c r="B90" s="80">
        <v>13</v>
      </c>
      <c r="C90" s="80" t="s">
        <v>616</v>
      </c>
      <c r="D90" s="77"/>
      <c r="E90" s="79">
        <v>1127</v>
      </c>
    </row>
    <row r="91" spans="1:5" x14ac:dyDescent="0.25">
      <c r="A91" s="77"/>
      <c r="B91" s="77">
        <v>13.1</v>
      </c>
      <c r="C91" s="77" t="s">
        <v>617</v>
      </c>
      <c r="D91" s="77"/>
      <c r="E91" s="79">
        <v>1127</v>
      </c>
    </row>
    <row r="92" spans="1:5" x14ac:dyDescent="0.25">
      <c r="A92" s="77"/>
      <c r="B92" s="77">
        <v>13.2</v>
      </c>
      <c r="C92" s="77" t="s">
        <v>618</v>
      </c>
      <c r="D92" s="77"/>
      <c r="E92" s="79">
        <v>1127</v>
      </c>
    </row>
    <row r="93" spans="1:5" x14ac:dyDescent="0.25">
      <c r="A93" s="77"/>
      <c r="B93" s="77">
        <v>13.3</v>
      </c>
      <c r="C93" s="77" t="s">
        <v>619</v>
      </c>
      <c r="D93" s="77"/>
      <c r="E93" s="79">
        <v>1127</v>
      </c>
    </row>
    <row r="94" spans="1:5" x14ac:dyDescent="0.25">
      <c r="A94" s="77"/>
      <c r="B94" s="77"/>
      <c r="C94" s="77"/>
      <c r="D94" s="77"/>
      <c r="E94" s="79">
        <v>1127</v>
      </c>
    </row>
    <row r="95" spans="1:5" ht="21" x14ac:dyDescent="0.25">
      <c r="A95" s="77"/>
      <c r="B95" s="80">
        <v>14</v>
      </c>
      <c r="C95" s="80" t="s">
        <v>620</v>
      </c>
      <c r="D95" s="77">
        <v>11</v>
      </c>
      <c r="E95" s="79">
        <v>1127</v>
      </c>
    </row>
    <row r="96" spans="1:5" x14ac:dyDescent="0.25">
      <c r="A96" s="77"/>
      <c r="B96" s="77">
        <v>14.1</v>
      </c>
      <c r="C96" s="77" t="s">
        <v>621</v>
      </c>
      <c r="D96" s="77">
        <v>11.1</v>
      </c>
      <c r="E96" s="79">
        <v>1127</v>
      </c>
    </row>
    <row r="97" spans="1:5" x14ac:dyDescent="0.25">
      <c r="A97" s="77"/>
      <c r="B97" s="77">
        <v>14.2</v>
      </c>
      <c r="C97" s="77" t="s">
        <v>622</v>
      </c>
      <c r="D97" s="77">
        <v>11.2</v>
      </c>
      <c r="E97" s="79">
        <v>1127</v>
      </c>
    </row>
    <row r="98" spans="1:5" x14ac:dyDescent="0.25">
      <c r="A98" s="77"/>
      <c r="B98" s="77">
        <v>14.3</v>
      </c>
      <c r="C98" s="77" t="s">
        <v>623</v>
      </c>
      <c r="D98" s="77">
        <v>11.3</v>
      </c>
      <c r="E98" s="79">
        <v>1127</v>
      </c>
    </row>
    <row r="99" spans="1:5" x14ac:dyDescent="0.25">
      <c r="A99" s="77"/>
      <c r="B99" s="77">
        <v>14.4</v>
      </c>
      <c r="C99" s="77" t="s">
        <v>624</v>
      </c>
      <c r="D99" s="77">
        <v>11.4</v>
      </c>
      <c r="E99" s="79">
        <v>1127</v>
      </c>
    </row>
    <row r="100" spans="1:5" x14ac:dyDescent="0.25">
      <c r="A100" s="77"/>
      <c r="B100" s="77">
        <v>14.5</v>
      </c>
      <c r="C100" s="77" t="s">
        <v>625</v>
      </c>
      <c r="D100" s="77">
        <v>11.5</v>
      </c>
      <c r="E100" s="79">
        <v>1127</v>
      </c>
    </row>
    <row r="101" spans="1:5" x14ac:dyDescent="0.25">
      <c r="A101" s="77"/>
      <c r="B101" s="77">
        <v>14.6</v>
      </c>
      <c r="C101" s="77" t="s">
        <v>207</v>
      </c>
      <c r="D101" s="77">
        <v>11.6</v>
      </c>
      <c r="E101" s="79">
        <v>1127</v>
      </c>
    </row>
    <row r="102" spans="1:5" x14ac:dyDescent="0.25">
      <c r="A102" s="77"/>
      <c r="B102" s="77">
        <v>14.7</v>
      </c>
      <c r="C102" s="77" t="s">
        <v>626</v>
      </c>
      <c r="D102" s="77"/>
      <c r="E102" s="79">
        <v>1127</v>
      </c>
    </row>
    <row r="103" spans="1:5" x14ac:dyDescent="0.25">
      <c r="A103" s="77"/>
      <c r="B103" s="77">
        <v>14.8</v>
      </c>
      <c r="C103" s="77" t="s">
        <v>169</v>
      </c>
      <c r="D103" s="77">
        <v>11.7</v>
      </c>
      <c r="E103" s="79">
        <v>1127</v>
      </c>
    </row>
    <row r="104" spans="1:5" x14ac:dyDescent="0.25">
      <c r="A104" s="77"/>
      <c r="B104" s="77"/>
      <c r="C104" s="77"/>
      <c r="D104" s="77"/>
      <c r="E104" s="79">
        <v>1127</v>
      </c>
    </row>
    <row r="105" spans="1:5" ht="21" x14ac:dyDescent="0.25">
      <c r="A105" s="77"/>
      <c r="B105" s="80">
        <v>15</v>
      </c>
      <c r="C105" s="80" t="s">
        <v>627</v>
      </c>
      <c r="D105" s="77">
        <v>12</v>
      </c>
      <c r="E105" s="79">
        <v>1127</v>
      </c>
    </row>
    <row r="106" spans="1:5" x14ac:dyDescent="0.25">
      <c r="A106" s="77"/>
      <c r="B106" s="77">
        <v>15.1</v>
      </c>
      <c r="C106" s="77" t="s">
        <v>628</v>
      </c>
      <c r="D106" s="77"/>
      <c r="E106" s="79">
        <v>1127</v>
      </c>
    </row>
    <row r="107" spans="1:5" ht="21" x14ac:dyDescent="0.25">
      <c r="A107" s="77"/>
      <c r="B107" s="77">
        <v>15.2</v>
      </c>
      <c r="C107" s="77" t="s">
        <v>629</v>
      </c>
      <c r="D107" s="77"/>
      <c r="E107" s="79">
        <v>1127</v>
      </c>
    </row>
    <row r="108" spans="1:5" x14ac:dyDescent="0.25">
      <c r="A108" s="77"/>
      <c r="B108" s="77">
        <v>15.3</v>
      </c>
      <c r="C108" s="77" t="s">
        <v>630</v>
      </c>
      <c r="D108" s="77"/>
      <c r="E108" s="79">
        <v>1127</v>
      </c>
    </row>
    <row r="109" spans="1:5" x14ac:dyDescent="0.25">
      <c r="A109" s="77"/>
      <c r="B109" s="77">
        <v>15.4</v>
      </c>
      <c r="C109" s="77" t="s">
        <v>631</v>
      </c>
      <c r="D109" s="77"/>
      <c r="E109" s="79">
        <v>1127</v>
      </c>
    </row>
    <row r="110" spans="1:5" x14ac:dyDescent="0.25">
      <c r="A110" s="77"/>
      <c r="B110" s="77">
        <v>15.5</v>
      </c>
      <c r="C110" s="77" t="s">
        <v>632</v>
      </c>
      <c r="D110" s="77"/>
      <c r="E110" s="79">
        <v>1127</v>
      </c>
    </row>
    <row r="111" spans="1:5" x14ac:dyDescent="0.25">
      <c r="A111" s="77"/>
      <c r="B111" s="77">
        <v>15.6</v>
      </c>
      <c r="C111" s="77" t="s">
        <v>633</v>
      </c>
      <c r="D111" s="77"/>
      <c r="E111" s="79">
        <v>1127</v>
      </c>
    </row>
    <row r="112" spans="1:5" x14ac:dyDescent="0.25">
      <c r="A112" s="77"/>
      <c r="B112" s="77">
        <v>15.7</v>
      </c>
      <c r="C112" s="77" t="s">
        <v>169</v>
      </c>
      <c r="D112" s="77"/>
      <c r="E112" s="79">
        <v>1127</v>
      </c>
    </row>
    <row r="113" spans="1:5" x14ac:dyDescent="0.25">
      <c r="A113" s="77"/>
      <c r="B113" s="77"/>
      <c r="C113" s="77"/>
      <c r="D113" s="77"/>
      <c r="E113" s="79"/>
    </row>
  </sheetData>
  <mergeCells count="5">
    <mergeCell ref="A1:A2"/>
    <mergeCell ref="B1:C1"/>
    <mergeCell ref="D1:D2"/>
    <mergeCell ref="B2:C2"/>
    <mergeCell ref="E1:E2"/>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13134-0112-40E1-B295-645903FEAA16}">
  <sheetPr>
    <tabColor theme="0"/>
  </sheetPr>
  <dimension ref="A1:C19"/>
  <sheetViews>
    <sheetView workbookViewId="0">
      <selection activeCell="B2" sqref="B2"/>
    </sheetView>
  </sheetViews>
  <sheetFormatPr defaultRowHeight="12.5" x14ac:dyDescent="0.25"/>
  <cols>
    <col min="1" max="1" width="48.90625" style="8" customWidth="1"/>
    <col min="2" max="2" width="2.36328125" style="8" customWidth="1"/>
    <col min="3" max="3" width="28.81640625" style="8" customWidth="1"/>
    <col min="4" max="16384" width="8.7265625" style="8"/>
  </cols>
  <sheetData>
    <row r="1" spans="1:3" x14ac:dyDescent="0.25">
      <c r="A1" s="81" t="s">
        <v>635</v>
      </c>
      <c r="B1" s="81"/>
      <c r="C1" s="81" t="s">
        <v>636</v>
      </c>
    </row>
    <row r="2" spans="1:3" x14ac:dyDescent="0.25">
      <c r="A2" s="94" t="s">
        <v>321</v>
      </c>
      <c r="B2" s="82"/>
      <c r="C2" s="451" t="s">
        <v>637</v>
      </c>
    </row>
    <row r="3" spans="1:3" x14ac:dyDescent="0.25">
      <c r="A3" s="94" t="s">
        <v>322</v>
      </c>
      <c r="B3" s="82"/>
      <c r="C3" s="451"/>
    </row>
    <row r="4" spans="1:3" x14ac:dyDescent="0.25">
      <c r="A4" s="94" t="s">
        <v>323</v>
      </c>
      <c r="B4" s="82"/>
      <c r="C4" s="451"/>
    </row>
    <row r="5" spans="1:3" x14ac:dyDescent="0.25">
      <c r="A5" s="94" t="s">
        <v>324</v>
      </c>
      <c r="B5" s="82"/>
      <c r="C5" s="451"/>
    </row>
    <row r="6" spans="1:3" x14ac:dyDescent="0.25">
      <c r="A6" s="94" t="s">
        <v>329</v>
      </c>
      <c r="B6" s="90"/>
      <c r="C6" s="96">
        <v>14.4</v>
      </c>
    </row>
    <row r="7" spans="1:3" x14ac:dyDescent="0.25">
      <c r="A7" s="94" t="s">
        <v>236</v>
      </c>
      <c r="B7" s="84"/>
      <c r="C7" s="451" t="s">
        <v>638</v>
      </c>
    </row>
    <row r="8" spans="1:3" x14ac:dyDescent="0.25">
      <c r="A8" s="94" t="s">
        <v>237</v>
      </c>
      <c r="B8" s="84"/>
      <c r="C8" s="451"/>
    </row>
    <row r="9" spans="1:3" x14ac:dyDescent="0.25">
      <c r="A9" s="94" t="s">
        <v>238</v>
      </c>
      <c r="B9" s="84"/>
      <c r="C9" s="451"/>
    </row>
    <row r="10" spans="1:3" x14ac:dyDescent="0.25">
      <c r="A10" s="95" t="s">
        <v>267</v>
      </c>
      <c r="B10" s="85"/>
      <c r="C10" s="452">
        <v>14.1</v>
      </c>
    </row>
    <row r="11" spans="1:3" x14ac:dyDescent="0.25">
      <c r="A11" s="95" t="s">
        <v>268</v>
      </c>
      <c r="B11" s="85"/>
      <c r="C11" s="452"/>
    </row>
    <row r="12" spans="1:3" x14ac:dyDescent="0.25">
      <c r="A12" s="94" t="s">
        <v>325</v>
      </c>
      <c r="B12" s="86"/>
      <c r="C12" s="452"/>
    </row>
    <row r="13" spans="1:3" x14ac:dyDescent="0.25">
      <c r="A13" s="94" t="s">
        <v>167</v>
      </c>
      <c r="B13" s="86"/>
      <c r="C13" s="97">
        <v>14.5</v>
      </c>
    </row>
    <row r="14" spans="1:3" x14ac:dyDescent="0.25">
      <c r="A14" s="95" t="s">
        <v>246</v>
      </c>
      <c r="B14" s="87"/>
      <c r="C14" s="452">
        <v>14.3</v>
      </c>
    </row>
    <row r="15" spans="1:3" x14ac:dyDescent="0.25">
      <c r="A15" s="95" t="s">
        <v>247</v>
      </c>
      <c r="B15" s="87"/>
      <c r="C15" s="452"/>
    </row>
    <row r="16" spans="1:3" x14ac:dyDescent="0.25">
      <c r="A16" s="95" t="s">
        <v>235</v>
      </c>
      <c r="B16" s="88"/>
      <c r="C16" s="98" t="s">
        <v>639</v>
      </c>
    </row>
    <row r="17" spans="1:3" x14ac:dyDescent="0.25">
      <c r="A17" s="95" t="s">
        <v>168</v>
      </c>
      <c r="B17" s="93"/>
      <c r="C17" s="99" t="s">
        <v>640</v>
      </c>
    </row>
    <row r="18" spans="1:3" x14ac:dyDescent="0.25">
      <c r="A18" s="94" t="s">
        <v>269</v>
      </c>
      <c r="B18" s="91"/>
      <c r="C18" s="99" t="s">
        <v>641</v>
      </c>
    </row>
    <row r="19" spans="1:3" x14ac:dyDescent="0.25">
      <c r="A19" s="94" t="s">
        <v>270</v>
      </c>
      <c r="B19" s="89"/>
      <c r="C19" s="99" t="s">
        <v>640</v>
      </c>
    </row>
  </sheetData>
  <mergeCells count="4">
    <mergeCell ref="C2:C5"/>
    <mergeCell ref="C7:C9"/>
    <mergeCell ref="C10:C12"/>
    <mergeCell ref="C14:C1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F0E0E-96C1-42E9-99D9-476CF6F33312}">
  <sheetPr>
    <tabColor theme="0"/>
  </sheetPr>
  <dimension ref="A1:V42"/>
  <sheetViews>
    <sheetView zoomScale="76" workbookViewId="0">
      <pane xSplit="1" topLeftCell="B1" activePane="topRight" state="frozen"/>
      <selection pane="topRight" activeCell="A12" sqref="A12"/>
    </sheetView>
  </sheetViews>
  <sheetFormatPr defaultRowHeight="12.5" x14ac:dyDescent="0.25"/>
  <cols>
    <col min="1" max="1" width="26.7265625" style="8" bestFit="1" customWidth="1"/>
    <col min="2" max="8" width="33" style="8" bestFit="1" customWidth="1"/>
    <col min="9" max="10" width="33" style="8" customWidth="1"/>
    <col min="11" max="12" width="33" style="8" bestFit="1" customWidth="1"/>
    <col min="13" max="14" width="33" style="8" customWidth="1"/>
    <col min="15" max="16" width="33" style="8" bestFit="1" customWidth="1"/>
    <col min="17" max="18" width="33" style="8" customWidth="1"/>
    <col min="19" max="22" width="33" style="8" bestFit="1" customWidth="1"/>
    <col min="23" max="16384" width="8.7265625" style="8"/>
  </cols>
  <sheetData>
    <row r="1" spans="1:22" ht="14.5" x14ac:dyDescent="0.35">
      <c r="A1" s="113" t="s">
        <v>642</v>
      </c>
      <c r="B1" s="114" t="s">
        <v>643</v>
      </c>
      <c r="C1" s="114" t="s">
        <v>644</v>
      </c>
      <c r="D1" s="114" t="s">
        <v>645</v>
      </c>
      <c r="E1" s="114" t="s">
        <v>646</v>
      </c>
      <c r="F1" s="114" t="s">
        <v>647</v>
      </c>
      <c r="G1" s="114" t="s">
        <v>648</v>
      </c>
      <c r="H1" s="114" t="s">
        <v>649</v>
      </c>
      <c r="I1" s="114" t="s">
        <v>1024</v>
      </c>
      <c r="J1" s="114" t="s">
        <v>1025</v>
      </c>
      <c r="K1" s="114" t="s">
        <v>650</v>
      </c>
      <c r="L1" s="114" t="s">
        <v>651</v>
      </c>
      <c r="M1" s="114" t="s">
        <v>1026</v>
      </c>
      <c r="N1" s="114" t="s">
        <v>1027</v>
      </c>
      <c r="O1" s="114" t="s">
        <v>652</v>
      </c>
      <c r="P1" s="114" t="s">
        <v>653</v>
      </c>
      <c r="Q1" s="114" t="s">
        <v>1028</v>
      </c>
      <c r="R1" s="114" t="s">
        <v>1029</v>
      </c>
      <c r="S1" s="114" t="s">
        <v>1023</v>
      </c>
      <c r="T1" s="114" t="s">
        <v>1022</v>
      </c>
      <c r="U1" s="114" t="s">
        <v>1030</v>
      </c>
      <c r="V1" s="114" t="s">
        <v>1031</v>
      </c>
    </row>
    <row r="2" spans="1:22" ht="13" x14ac:dyDescent="0.3">
      <c r="A2" s="116">
        <v>1</v>
      </c>
      <c r="B2" s="117" t="s">
        <v>190</v>
      </c>
      <c r="C2" s="117" t="s">
        <v>190</v>
      </c>
      <c r="D2" s="117" t="s">
        <v>191</v>
      </c>
      <c r="E2" s="117" t="s">
        <v>613</v>
      </c>
      <c r="F2" s="117" t="s">
        <v>613</v>
      </c>
      <c r="G2" s="117" t="s">
        <v>591</v>
      </c>
      <c r="H2" s="117" t="s">
        <v>598</v>
      </c>
      <c r="I2" s="117" t="s">
        <v>591</v>
      </c>
      <c r="J2" s="117" t="s">
        <v>598</v>
      </c>
      <c r="K2" s="117" t="s">
        <v>591</v>
      </c>
      <c r="L2" s="117" t="s">
        <v>599</v>
      </c>
      <c r="M2" s="117" t="s">
        <v>591</v>
      </c>
      <c r="N2" s="117" t="s">
        <v>599</v>
      </c>
      <c r="O2" s="118" t="s">
        <v>667</v>
      </c>
      <c r="P2" s="118" t="s">
        <v>667</v>
      </c>
      <c r="Q2" s="118" t="s">
        <v>667</v>
      </c>
      <c r="R2" s="118" t="s">
        <v>667</v>
      </c>
      <c r="S2" s="118" t="s">
        <v>613</v>
      </c>
      <c r="T2" s="118" t="s">
        <v>613</v>
      </c>
      <c r="U2" s="118" t="s">
        <v>613</v>
      </c>
      <c r="V2" s="118" t="s">
        <v>613</v>
      </c>
    </row>
    <row r="3" spans="1:22" ht="13" x14ac:dyDescent="0.3">
      <c r="A3" s="116">
        <v>2</v>
      </c>
      <c r="B3" s="115" t="s">
        <v>589</v>
      </c>
      <c r="C3" s="52" t="s">
        <v>557</v>
      </c>
      <c r="D3" s="52" t="s">
        <v>597</v>
      </c>
      <c r="E3" s="52"/>
      <c r="F3" s="52"/>
      <c r="G3" s="52" t="s">
        <v>557</v>
      </c>
      <c r="H3" s="52" t="s">
        <v>600</v>
      </c>
      <c r="I3" s="52" t="s">
        <v>557</v>
      </c>
      <c r="J3" s="52" t="s">
        <v>600</v>
      </c>
      <c r="K3" s="52" t="s">
        <v>593</v>
      </c>
      <c r="L3" s="52" t="s">
        <v>593</v>
      </c>
      <c r="M3" s="52" t="s">
        <v>593</v>
      </c>
      <c r="N3" s="52" t="s">
        <v>593</v>
      </c>
      <c r="O3" s="52" t="s">
        <v>613</v>
      </c>
      <c r="P3" s="52" t="s">
        <v>613</v>
      </c>
      <c r="Q3" s="52" t="s">
        <v>613</v>
      </c>
      <c r="R3" s="52" t="s">
        <v>613</v>
      </c>
      <c r="S3" s="52"/>
      <c r="T3" s="52"/>
      <c r="U3" s="52"/>
      <c r="V3" s="52"/>
    </row>
    <row r="4" spans="1:22" ht="13" x14ac:dyDescent="0.3">
      <c r="A4" s="116">
        <v>3</v>
      </c>
      <c r="B4" s="52" t="s">
        <v>557</v>
      </c>
      <c r="C4" s="52"/>
      <c r="D4" s="52" t="s">
        <v>557</v>
      </c>
      <c r="E4" s="52"/>
      <c r="F4" s="52"/>
      <c r="G4" s="52"/>
      <c r="H4" s="52" t="s">
        <v>557</v>
      </c>
      <c r="I4" s="52"/>
      <c r="J4" s="52" t="s">
        <v>557</v>
      </c>
      <c r="K4" s="52" t="s">
        <v>557</v>
      </c>
      <c r="L4" s="52" t="s">
        <v>557</v>
      </c>
      <c r="M4" s="52" t="s">
        <v>557</v>
      </c>
      <c r="N4" s="52" t="s">
        <v>557</v>
      </c>
      <c r="O4" s="52"/>
      <c r="P4" s="52"/>
      <c r="Q4" s="52"/>
      <c r="R4" s="52"/>
      <c r="S4" s="52"/>
      <c r="T4" s="52"/>
      <c r="U4" s="52"/>
      <c r="V4" s="52"/>
    </row>
    <row r="5" spans="1:22" ht="13" x14ac:dyDescent="0.3">
      <c r="A5" s="116">
        <v>4</v>
      </c>
      <c r="B5" s="52"/>
      <c r="C5" s="52"/>
      <c r="D5" s="52"/>
      <c r="E5" s="52"/>
      <c r="F5" s="52"/>
      <c r="G5" s="52"/>
      <c r="H5" s="52"/>
      <c r="I5" s="52"/>
      <c r="J5" s="52"/>
      <c r="K5" s="52"/>
      <c r="L5" s="52" t="s">
        <v>600</v>
      </c>
      <c r="M5" s="52"/>
      <c r="N5" s="52" t="s">
        <v>600</v>
      </c>
      <c r="O5" s="52"/>
      <c r="P5" s="52"/>
      <c r="Q5" s="52"/>
      <c r="R5" s="52"/>
      <c r="S5" s="52"/>
      <c r="T5" s="52"/>
      <c r="U5" s="52"/>
      <c r="V5" s="52"/>
    </row>
    <row r="7" spans="1:22" ht="14.5" x14ac:dyDescent="0.35">
      <c r="A7" s="113" t="s">
        <v>654</v>
      </c>
      <c r="B7" s="114" t="s">
        <v>643</v>
      </c>
      <c r="C7" s="114" t="s">
        <v>644</v>
      </c>
      <c r="D7" s="114" t="s">
        <v>645</v>
      </c>
      <c r="E7" s="114" t="s">
        <v>646</v>
      </c>
      <c r="F7" s="114" t="s">
        <v>647</v>
      </c>
      <c r="G7" s="114" t="s">
        <v>648</v>
      </c>
      <c r="H7" s="114" t="s">
        <v>649</v>
      </c>
      <c r="I7" s="114" t="s">
        <v>1024</v>
      </c>
      <c r="J7" s="114" t="s">
        <v>1025</v>
      </c>
      <c r="K7" s="114" t="s">
        <v>650</v>
      </c>
      <c r="L7" s="114" t="s">
        <v>651</v>
      </c>
      <c r="M7" s="114" t="s">
        <v>1026</v>
      </c>
      <c r="N7" s="114" t="s">
        <v>1027</v>
      </c>
      <c r="O7" s="114" t="s">
        <v>652</v>
      </c>
      <c r="P7" s="114" t="s">
        <v>653</v>
      </c>
      <c r="Q7" s="114" t="s">
        <v>1028</v>
      </c>
      <c r="R7" s="114" t="s">
        <v>1029</v>
      </c>
      <c r="S7" s="114" t="s">
        <v>1023</v>
      </c>
      <c r="T7" s="114" t="s">
        <v>1022</v>
      </c>
      <c r="U7" s="114" t="s">
        <v>1030</v>
      </c>
      <c r="V7" s="114" t="s">
        <v>1031</v>
      </c>
    </row>
    <row r="8" spans="1:22" ht="13" x14ac:dyDescent="0.3">
      <c r="A8" s="116">
        <v>1</v>
      </c>
      <c r="B8" s="117" t="s">
        <v>624</v>
      </c>
      <c r="C8" s="117" t="s">
        <v>624</v>
      </c>
      <c r="D8" s="117" t="s">
        <v>624</v>
      </c>
      <c r="E8" s="117" t="s">
        <v>624</v>
      </c>
      <c r="F8" s="117" t="s">
        <v>624</v>
      </c>
      <c r="G8" s="117" t="s">
        <v>624</v>
      </c>
      <c r="H8" s="117" t="s">
        <v>624</v>
      </c>
      <c r="I8" s="117" t="s">
        <v>624</v>
      </c>
      <c r="J8" s="117" t="s">
        <v>624</v>
      </c>
      <c r="K8" s="117" t="s">
        <v>624</v>
      </c>
      <c r="L8" s="117" t="s">
        <v>624</v>
      </c>
      <c r="M8" s="117" t="s">
        <v>624</v>
      </c>
      <c r="N8" s="117" t="s">
        <v>624</v>
      </c>
      <c r="O8" s="117" t="s">
        <v>624</v>
      </c>
      <c r="P8" s="117" t="s">
        <v>624</v>
      </c>
      <c r="Q8" s="117" t="s">
        <v>624</v>
      </c>
      <c r="R8" s="117" t="s">
        <v>624</v>
      </c>
      <c r="S8" s="117" t="s">
        <v>624</v>
      </c>
      <c r="T8" s="117" t="s">
        <v>624</v>
      </c>
      <c r="U8" s="117" t="s">
        <v>624</v>
      </c>
      <c r="V8" s="117" t="s">
        <v>624</v>
      </c>
    </row>
    <row r="11" spans="1:22" ht="14.5" x14ac:dyDescent="0.35">
      <c r="A11" s="113" t="s">
        <v>655</v>
      </c>
      <c r="B11" s="114" t="s">
        <v>643</v>
      </c>
      <c r="C11" s="114" t="s">
        <v>644</v>
      </c>
      <c r="D11" s="114" t="s">
        <v>645</v>
      </c>
      <c r="E11" s="114" t="s">
        <v>646</v>
      </c>
      <c r="F11" s="114" t="s">
        <v>647</v>
      </c>
      <c r="G11" s="114" t="s">
        <v>648</v>
      </c>
      <c r="H11" s="114" t="s">
        <v>649</v>
      </c>
      <c r="I11" s="114" t="s">
        <v>1024</v>
      </c>
      <c r="J11" s="114" t="s">
        <v>1025</v>
      </c>
      <c r="K11" s="114" t="s">
        <v>650</v>
      </c>
      <c r="L11" s="114" t="s">
        <v>651</v>
      </c>
      <c r="M11" s="114" t="s">
        <v>1026</v>
      </c>
      <c r="N11" s="114" t="s">
        <v>1027</v>
      </c>
      <c r="O11" s="114" t="s">
        <v>652</v>
      </c>
      <c r="P11" s="114" t="s">
        <v>653</v>
      </c>
      <c r="Q11" s="114" t="s">
        <v>1028</v>
      </c>
      <c r="R11" s="114" t="s">
        <v>1029</v>
      </c>
      <c r="S11" s="114" t="s">
        <v>1023</v>
      </c>
      <c r="T11" s="114" t="s">
        <v>1022</v>
      </c>
      <c r="U11" s="114" t="s">
        <v>1030</v>
      </c>
      <c r="V11" s="114" t="s">
        <v>1031</v>
      </c>
    </row>
    <row r="12" spans="1:22" ht="13" x14ac:dyDescent="0.3">
      <c r="A12" s="116">
        <v>1</v>
      </c>
      <c r="B12" s="117" t="s">
        <v>603</v>
      </c>
      <c r="C12" s="117" t="s">
        <v>603</v>
      </c>
      <c r="D12" s="117" t="s">
        <v>603</v>
      </c>
      <c r="E12" s="117" t="s">
        <v>614</v>
      </c>
      <c r="F12" s="117" t="s">
        <v>614</v>
      </c>
      <c r="G12" s="117" t="s">
        <v>604</v>
      </c>
      <c r="H12" s="117" t="s">
        <v>604</v>
      </c>
      <c r="I12" s="117" t="s">
        <v>604</v>
      </c>
      <c r="J12" s="117" t="s">
        <v>604</v>
      </c>
      <c r="K12" s="117" t="s">
        <v>604</v>
      </c>
      <c r="L12" s="117" t="s">
        <v>604</v>
      </c>
      <c r="M12" s="117" t="s">
        <v>604</v>
      </c>
      <c r="N12" s="117" t="s">
        <v>604</v>
      </c>
      <c r="O12" s="117" t="s">
        <v>610</v>
      </c>
      <c r="P12" s="117" t="s">
        <v>610</v>
      </c>
      <c r="Q12" s="117" t="s">
        <v>610</v>
      </c>
      <c r="R12" s="117" t="s">
        <v>610</v>
      </c>
      <c r="S12" s="117" t="s">
        <v>610</v>
      </c>
      <c r="T12" s="117" t="s">
        <v>610</v>
      </c>
      <c r="U12" s="117" t="s">
        <v>610</v>
      </c>
      <c r="V12" s="117" t="s">
        <v>610</v>
      </c>
    </row>
    <row r="13" spans="1:22" ht="13" x14ac:dyDescent="0.3">
      <c r="A13" s="116">
        <v>2</v>
      </c>
      <c r="B13" s="52"/>
      <c r="C13" s="52"/>
      <c r="D13" s="52" t="s">
        <v>602</v>
      </c>
      <c r="E13" s="52"/>
      <c r="F13" s="52" t="s">
        <v>602</v>
      </c>
      <c r="G13" s="52"/>
      <c r="H13" s="52" t="s">
        <v>602</v>
      </c>
      <c r="I13" s="52"/>
      <c r="J13" s="52" t="s">
        <v>602</v>
      </c>
      <c r="K13" s="52"/>
      <c r="L13" s="52" t="s">
        <v>605</v>
      </c>
      <c r="M13" s="52"/>
      <c r="N13" s="52" t="s">
        <v>605</v>
      </c>
      <c r="O13" s="52" t="s">
        <v>611</v>
      </c>
      <c r="P13" s="52" t="s">
        <v>611</v>
      </c>
      <c r="Q13" s="52" t="s">
        <v>611</v>
      </c>
      <c r="R13" s="52" t="s">
        <v>611</v>
      </c>
      <c r="S13" s="52" t="s">
        <v>611</v>
      </c>
      <c r="T13" s="52" t="s">
        <v>611</v>
      </c>
      <c r="U13" s="52" t="s">
        <v>611</v>
      </c>
      <c r="V13" s="52" t="s">
        <v>611</v>
      </c>
    </row>
    <row r="14" spans="1:22" ht="13" x14ac:dyDescent="0.3">
      <c r="A14" s="116">
        <v>3</v>
      </c>
      <c r="B14" s="52"/>
      <c r="C14" s="52"/>
      <c r="D14" s="52"/>
      <c r="E14" s="52"/>
      <c r="F14" s="52"/>
      <c r="G14" s="52"/>
      <c r="H14" s="52"/>
      <c r="I14" s="52"/>
      <c r="J14" s="52"/>
      <c r="K14" s="52"/>
      <c r="L14" s="52" t="s">
        <v>602</v>
      </c>
      <c r="M14" s="52"/>
      <c r="N14" s="52" t="s">
        <v>602</v>
      </c>
      <c r="O14" s="52" t="s">
        <v>614</v>
      </c>
      <c r="P14" s="52" t="s">
        <v>614</v>
      </c>
      <c r="Q14" s="52" t="s">
        <v>614</v>
      </c>
      <c r="R14" s="52" t="s">
        <v>614</v>
      </c>
      <c r="S14" s="52" t="s">
        <v>614</v>
      </c>
      <c r="T14" s="52" t="s">
        <v>614</v>
      </c>
      <c r="U14" s="52" t="s">
        <v>614</v>
      </c>
      <c r="V14" s="52" t="s">
        <v>614</v>
      </c>
    </row>
    <row r="15" spans="1:22" ht="13" x14ac:dyDescent="0.3">
      <c r="A15" s="116">
        <v>4</v>
      </c>
      <c r="B15" s="52"/>
      <c r="C15" s="52"/>
      <c r="D15" s="52"/>
      <c r="E15" s="52"/>
      <c r="F15" s="52"/>
      <c r="G15" s="52"/>
      <c r="H15" s="52"/>
      <c r="I15" s="52"/>
      <c r="J15" s="52"/>
      <c r="K15" s="52"/>
      <c r="L15" s="52"/>
      <c r="M15" s="52"/>
      <c r="N15" s="52"/>
      <c r="O15" s="52"/>
      <c r="P15" s="52" t="s">
        <v>602</v>
      </c>
      <c r="Q15" s="52"/>
      <c r="R15" s="52" t="s">
        <v>602</v>
      </c>
      <c r="S15" s="52"/>
      <c r="T15" s="52" t="s">
        <v>602</v>
      </c>
      <c r="U15" s="52"/>
      <c r="V15" s="52" t="s">
        <v>602</v>
      </c>
    </row>
    <row r="17" spans="1:22" ht="14.5" x14ac:dyDescent="0.35">
      <c r="A17" s="113" t="s">
        <v>656</v>
      </c>
      <c r="B17" s="114" t="s">
        <v>643</v>
      </c>
      <c r="C17" s="114" t="s">
        <v>644</v>
      </c>
      <c r="D17" s="114" t="s">
        <v>645</v>
      </c>
      <c r="E17" s="114" t="s">
        <v>646</v>
      </c>
      <c r="F17" s="114" t="s">
        <v>647</v>
      </c>
      <c r="G17" s="114" t="s">
        <v>648</v>
      </c>
      <c r="H17" s="114" t="s">
        <v>649</v>
      </c>
      <c r="I17" s="114" t="s">
        <v>1024</v>
      </c>
      <c r="J17" s="114" t="s">
        <v>1025</v>
      </c>
      <c r="K17" s="114" t="s">
        <v>650</v>
      </c>
      <c r="L17" s="114" t="s">
        <v>651</v>
      </c>
      <c r="M17" s="114" t="s">
        <v>1026</v>
      </c>
      <c r="N17" s="114" t="s">
        <v>1027</v>
      </c>
      <c r="O17" s="114" t="s">
        <v>652</v>
      </c>
      <c r="P17" s="114" t="s">
        <v>653</v>
      </c>
      <c r="Q17" s="114" t="s">
        <v>1028</v>
      </c>
      <c r="R17" s="114" t="s">
        <v>1029</v>
      </c>
      <c r="S17" s="114" t="s">
        <v>1023</v>
      </c>
      <c r="T17" s="114" t="s">
        <v>1022</v>
      </c>
      <c r="U17" s="114" t="s">
        <v>1030</v>
      </c>
      <c r="V17" s="114" t="s">
        <v>1031</v>
      </c>
    </row>
    <row r="18" spans="1:22" ht="13" x14ac:dyDescent="0.3">
      <c r="A18" s="116">
        <v>1</v>
      </c>
      <c r="B18" s="117" t="s">
        <v>621</v>
      </c>
      <c r="C18" s="117" t="s">
        <v>621</v>
      </c>
      <c r="D18" s="117" t="s">
        <v>621</v>
      </c>
      <c r="E18" s="117" t="s">
        <v>621</v>
      </c>
      <c r="F18" s="117" t="s">
        <v>621</v>
      </c>
      <c r="G18" s="117" t="s">
        <v>621</v>
      </c>
      <c r="H18" s="117" t="s">
        <v>621</v>
      </c>
      <c r="I18" s="117" t="s">
        <v>621</v>
      </c>
      <c r="J18" s="117" t="s">
        <v>621</v>
      </c>
      <c r="K18" s="117" t="s">
        <v>621</v>
      </c>
      <c r="L18" s="117" t="s">
        <v>621</v>
      </c>
      <c r="M18" s="117" t="s">
        <v>621</v>
      </c>
      <c r="N18" s="117" t="s">
        <v>621</v>
      </c>
      <c r="O18" s="117" t="s">
        <v>621</v>
      </c>
      <c r="P18" s="117" t="s">
        <v>621</v>
      </c>
      <c r="Q18" s="117" t="s">
        <v>621</v>
      </c>
      <c r="R18" s="117" t="s">
        <v>621</v>
      </c>
      <c r="S18" s="117" t="s">
        <v>621</v>
      </c>
      <c r="T18" s="117" t="s">
        <v>621</v>
      </c>
      <c r="U18" s="117" t="s">
        <v>621</v>
      </c>
      <c r="V18" s="117" t="s">
        <v>621</v>
      </c>
    </row>
    <row r="20" spans="1:22" ht="14.5" x14ac:dyDescent="0.35">
      <c r="A20" s="113" t="s">
        <v>657</v>
      </c>
      <c r="B20" s="114" t="s">
        <v>643</v>
      </c>
      <c r="C20" s="114" t="s">
        <v>644</v>
      </c>
      <c r="D20" s="114" t="s">
        <v>645</v>
      </c>
      <c r="E20" s="114" t="s">
        <v>646</v>
      </c>
      <c r="F20" s="114" t="s">
        <v>647</v>
      </c>
      <c r="G20" s="114" t="s">
        <v>648</v>
      </c>
      <c r="H20" s="114" t="s">
        <v>649</v>
      </c>
      <c r="I20" s="114" t="s">
        <v>1024</v>
      </c>
      <c r="J20" s="114" t="s">
        <v>1025</v>
      </c>
      <c r="K20" s="114" t="s">
        <v>650</v>
      </c>
      <c r="L20" s="114" t="s">
        <v>651</v>
      </c>
      <c r="M20" s="114" t="s">
        <v>1026</v>
      </c>
      <c r="N20" s="114" t="s">
        <v>1027</v>
      </c>
      <c r="O20" s="114" t="s">
        <v>652</v>
      </c>
      <c r="P20" s="114" t="s">
        <v>653</v>
      </c>
      <c r="Q20" s="114" t="s">
        <v>1028</v>
      </c>
      <c r="R20" s="114" t="s">
        <v>1029</v>
      </c>
      <c r="S20" s="114" t="s">
        <v>1023</v>
      </c>
      <c r="T20" s="114" t="s">
        <v>1022</v>
      </c>
      <c r="U20" s="114" t="s">
        <v>1030</v>
      </c>
      <c r="V20" s="114" t="s">
        <v>1031</v>
      </c>
    </row>
    <row r="21" spans="1:22" ht="13" x14ac:dyDescent="0.3">
      <c r="A21" s="116">
        <v>1</v>
      </c>
      <c r="B21" s="117" t="s">
        <v>625</v>
      </c>
      <c r="C21" s="117" t="s">
        <v>625</v>
      </c>
      <c r="D21" s="117" t="s">
        <v>625</v>
      </c>
      <c r="E21" s="117" t="s">
        <v>625</v>
      </c>
      <c r="F21" s="117" t="s">
        <v>625</v>
      </c>
      <c r="G21" s="117" t="s">
        <v>625</v>
      </c>
      <c r="H21" s="117" t="s">
        <v>625</v>
      </c>
      <c r="I21" s="117" t="s">
        <v>625</v>
      </c>
      <c r="J21" s="117" t="s">
        <v>625</v>
      </c>
      <c r="K21" s="117" t="s">
        <v>625</v>
      </c>
      <c r="L21" s="117" t="s">
        <v>625</v>
      </c>
      <c r="M21" s="117" t="s">
        <v>625</v>
      </c>
      <c r="N21" s="117" t="s">
        <v>625</v>
      </c>
      <c r="O21" s="117" t="s">
        <v>625</v>
      </c>
      <c r="P21" s="117" t="s">
        <v>625</v>
      </c>
      <c r="Q21" s="117" t="s">
        <v>625</v>
      </c>
      <c r="R21" s="117" t="s">
        <v>625</v>
      </c>
      <c r="S21" s="117" t="s">
        <v>625</v>
      </c>
      <c r="T21" s="117" t="s">
        <v>625</v>
      </c>
      <c r="U21" s="117" t="s">
        <v>625</v>
      </c>
      <c r="V21" s="117" t="s">
        <v>625</v>
      </c>
    </row>
    <row r="23" spans="1:22" ht="14.5" x14ac:dyDescent="0.35">
      <c r="A23" s="113" t="s">
        <v>658</v>
      </c>
      <c r="B23" s="114" t="s">
        <v>643</v>
      </c>
      <c r="C23" s="114" t="s">
        <v>644</v>
      </c>
      <c r="D23" s="114" t="s">
        <v>645</v>
      </c>
      <c r="E23" s="114" t="s">
        <v>646</v>
      </c>
      <c r="F23" s="114" t="s">
        <v>647</v>
      </c>
      <c r="G23" s="114" t="s">
        <v>648</v>
      </c>
      <c r="H23" s="114" t="s">
        <v>649</v>
      </c>
      <c r="I23" s="114" t="s">
        <v>1024</v>
      </c>
      <c r="J23" s="114" t="s">
        <v>1025</v>
      </c>
      <c r="K23" s="114" t="s">
        <v>650</v>
      </c>
      <c r="L23" s="114" t="s">
        <v>651</v>
      </c>
      <c r="M23" s="114" t="s">
        <v>1026</v>
      </c>
      <c r="N23" s="114" t="s">
        <v>1027</v>
      </c>
      <c r="O23" s="114" t="s">
        <v>652</v>
      </c>
      <c r="P23" s="114" t="s">
        <v>653</v>
      </c>
      <c r="Q23" s="114" t="s">
        <v>1028</v>
      </c>
      <c r="R23" s="114" t="s">
        <v>1029</v>
      </c>
      <c r="S23" s="114" t="s">
        <v>1023</v>
      </c>
      <c r="T23" s="114" t="s">
        <v>1022</v>
      </c>
      <c r="U23" s="114" t="s">
        <v>1030</v>
      </c>
      <c r="V23" s="114" t="s">
        <v>1031</v>
      </c>
    </row>
    <row r="24" spans="1:22" ht="13" x14ac:dyDescent="0.3">
      <c r="A24" s="116">
        <v>1</v>
      </c>
      <c r="B24" s="117" t="s">
        <v>623</v>
      </c>
      <c r="C24" s="117" t="s">
        <v>623</v>
      </c>
      <c r="D24" s="117" t="s">
        <v>623</v>
      </c>
      <c r="E24" s="117" t="s">
        <v>623</v>
      </c>
      <c r="F24" s="117" t="s">
        <v>623</v>
      </c>
      <c r="G24" s="117" t="s">
        <v>623</v>
      </c>
      <c r="H24" s="117" t="s">
        <v>623</v>
      </c>
      <c r="I24" s="117" t="s">
        <v>623</v>
      </c>
      <c r="J24" s="117" t="s">
        <v>623</v>
      </c>
      <c r="K24" s="117" t="s">
        <v>623</v>
      </c>
      <c r="L24" s="117" t="s">
        <v>623</v>
      </c>
      <c r="M24" s="117" t="s">
        <v>623</v>
      </c>
      <c r="N24" s="117" t="s">
        <v>623</v>
      </c>
      <c r="O24" s="117" t="s">
        <v>623</v>
      </c>
      <c r="P24" s="117" t="s">
        <v>623</v>
      </c>
      <c r="Q24" s="117" t="s">
        <v>623</v>
      </c>
      <c r="R24" s="117" t="s">
        <v>623</v>
      </c>
      <c r="S24" s="117" t="s">
        <v>623</v>
      </c>
      <c r="T24" s="117" t="s">
        <v>623</v>
      </c>
      <c r="U24" s="117" t="s">
        <v>623</v>
      </c>
      <c r="V24" s="117" t="s">
        <v>623</v>
      </c>
    </row>
    <row r="26" spans="1:22" ht="14.5" x14ac:dyDescent="0.35">
      <c r="A26" s="113" t="s">
        <v>659</v>
      </c>
      <c r="B26" s="114" t="s">
        <v>643</v>
      </c>
      <c r="C26" s="114" t="s">
        <v>644</v>
      </c>
      <c r="D26" s="114" t="s">
        <v>645</v>
      </c>
      <c r="E26" s="114" t="s">
        <v>646</v>
      </c>
      <c r="F26" s="114" t="s">
        <v>647</v>
      </c>
      <c r="G26" s="114" t="s">
        <v>648</v>
      </c>
      <c r="H26" s="114" t="s">
        <v>649</v>
      </c>
      <c r="I26" s="114" t="s">
        <v>1024</v>
      </c>
      <c r="J26" s="114" t="s">
        <v>1025</v>
      </c>
      <c r="K26" s="114" t="s">
        <v>650</v>
      </c>
      <c r="L26" s="114" t="s">
        <v>651</v>
      </c>
      <c r="M26" s="114" t="s">
        <v>1026</v>
      </c>
      <c r="N26" s="114" t="s">
        <v>1027</v>
      </c>
      <c r="O26" s="114" t="s">
        <v>652</v>
      </c>
      <c r="P26" s="114" t="s">
        <v>653</v>
      </c>
      <c r="Q26" s="114" t="s">
        <v>1028</v>
      </c>
      <c r="R26" s="114" t="s">
        <v>1029</v>
      </c>
      <c r="S26" s="114" t="s">
        <v>1023</v>
      </c>
      <c r="T26" s="114" t="s">
        <v>1022</v>
      </c>
      <c r="U26" s="114" t="s">
        <v>1030</v>
      </c>
      <c r="V26" s="114" t="s">
        <v>1031</v>
      </c>
    </row>
    <row r="27" spans="1:22" ht="13" x14ac:dyDescent="0.3">
      <c r="A27" s="116">
        <v>1</v>
      </c>
      <c r="B27" s="117" t="s">
        <v>660</v>
      </c>
      <c r="C27" s="117" t="s">
        <v>660</v>
      </c>
      <c r="D27" s="117" t="s">
        <v>660</v>
      </c>
      <c r="E27" s="117" t="s">
        <v>660</v>
      </c>
      <c r="F27" s="117" t="s">
        <v>660</v>
      </c>
      <c r="G27" s="117" t="s">
        <v>660</v>
      </c>
      <c r="H27" s="117" t="s">
        <v>660</v>
      </c>
      <c r="I27" s="117" t="s">
        <v>660</v>
      </c>
      <c r="J27" s="117" t="s">
        <v>660</v>
      </c>
      <c r="K27" s="117" t="s">
        <v>660</v>
      </c>
      <c r="L27" s="117" t="s">
        <v>660</v>
      </c>
      <c r="M27" s="117" t="s">
        <v>660</v>
      </c>
      <c r="N27" s="117" t="s">
        <v>660</v>
      </c>
      <c r="O27" s="117" t="s">
        <v>660</v>
      </c>
      <c r="P27" s="117" t="s">
        <v>660</v>
      </c>
      <c r="Q27" s="117" t="s">
        <v>660</v>
      </c>
      <c r="R27" s="117" t="s">
        <v>660</v>
      </c>
      <c r="S27" s="117" t="s">
        <v>660</v>
      </c>
      <c r="T27" s="117" t="s">
        <v>660</v>
      </c>
      <c r="U27" s="117" t="s">
        <v>660</v>
      </c>
      <c r="V27" s="117" t="s">
        <v>660</v>
      </c>
    </row>
    <row r="29" spans="1:22" ht="14.5" x14ac:dyDescent="0.35">
      <c r="A29" s="113" t="s">
        <v>661</v>
      </c>
      <c r="B29" s="114" t="s">
        <v>643</v>
      </c>
      <c r="C29" s="114" t="s">
        <v>644</v>
      </c>
      <c r="D29" s="114" t="s">
        <v>645</v>
      </c>
      <c r="E29" s="114" t="s">
        <v>646</v>
      </c>
      <c r="F29" s="114" t="s">
        <v>647</v>
      </c>
      <c r="G29" s="114" t="s">
        <v>648</v>
      </c>
      <c r="H29" s="114" t="s">
        <v>649</v>
      </c>
      <c r="I29" s="114" t="s">
        <v>1024</v>
      </c>
      <c r="J29" s="114" t="s">
        <v>1025</v>
      </c>
      <c r="K29" s="114" t="s">
        <v>650</v>
      </c>
      <c r="L29" s="114" t="s">
        <v>651</v>
      </c>
      <c r="M29" s="114" t="s">
        <v>1026</v>
      </c>
      <c r="N29" s="114" t="s">
        <v>1027</v>
      </c>
      <c r="O29" s="114" t="s">
        <v>652</v>
      </c>
      <c r="P29" s="114" t="s">
        <v>653</v>
      </c>
      <c r="Q29" s="114" t="s">
        <v>1028</v>
      </c>
      <c r="R29" s="114" t="s">
        <v>1029</v>
      </c>
      <c r="S29" s="114" t="s">
        <v>1023</v>
      </c>
      <c r="T29" s="114" t="s">
        <v>1022</v>
      </c>
      <c r="U29" s="114" t="s">
        <v>1030</v>
      </c>
      <c r="V29" s="114" t="s">
        <v>1031</v>
      </c>
    </row>
    <row r="30" spans="1:22" ht="13" x14ac:dyDescent="0.3">
      <c r="A30" s="116">
        <v>1</v>
      </c>
      <c r="B30" s="117" t="s">
        <v>194</v>
      </c>
      <c r="C30" s="117" t="s">
        <v>194</v>
      </c>
      <c r="D30" s="117" t="s">
        <v>194</v>
      </c>
      <c r="E30" s="117" t="s">
        <v>194</v>
      </c>
      <c r="F30" s="117" t="s">
        <v>194</v>
      </c>
      <c r="G30" s="117" t="s">
        <v>194</v>
      </c>
      <c r="H30" s="117" t="s">
        <v>194</v>
      </c>
      <c r="I30" s="117" t="s">
        <v>194</v>
      </c>
      <c r="J30" s="117" t="s">
        <v>194</v>
      </c>
      <c r="K30" s="117" t="s">
        <v>194</v>
      </c>
      <c r="L30" s="117" t="s">
        <v>194</v>
      </c>
      <c r="M30" s="117" t="s">
        <v>194</v>
      </c>
      <c r="N30" s="117" t="s">
        <v>194</v>
      </c>
      <c r="O30" s="117" t="s">
        <v>194</v>
      </c>
      <c r="P30" s="117" t="s">
        <v>194</v>
      </c>
      <c r="Q30" s="117" t="s">
        <v>194</v>
      </c>
      <c r="R30" s="117" t="s">
        <v>194</v>
      </c>
      <c r="S30" s="117" t="s">
        <v>194</v>
      </c>
      <c r="T30" s="117" t="s">
        <v>194</v>
      </c>
      <c r="U30" s="117" t="s">
        <v>194</v>
      </c>
      <c r="V30" s="117" t="s">
        <v>194</v>
      </c>
    </row>
    <row r="32" spans="1:22" ht="14.5" x14ac:dyDescent="0.35">
      <c r="A32" s="113" t="s">
        <v>676</v>
      </c>
      <c r="B32" s="114" t="s">
        <v>643</v>
      </c>
      <c r="C32" s="114" t="s">
        <v>644</v>
      </c>
      <c r="D32" s="114" t="s">
        <v>645</v>
      </c>
      <c r="E32" s="114" t="s">
        <v>646</v>
      </c>
      <c r="F32" s="114" t="s">
        <v>647</v>
      </c>
      <c r="G32" s="114" t="s">
        <v>648</v>
      </c>
      <c r="H32" s="114" t="s">
        <v>649</v>
      </c>
      <c r="I32" s="114" t="s">
        <v>1024</v>
      </c>
      <c r="J32" s="114" t="s">
        <v>1025</v>
      </c>
      <c r="K32" s="114" t="s">
        <v>650</v>
      </c>
      <c r="L32" s="114" t="s">
        <v>651</v>
      </c>
      <c r="M32" s="114" t="s">
        <v>1026</v>
      </c>
      <c r="N32" s="114" t="s">
        <v>1027</v>
      </c>
      <c r="O32" s="114" t="s">
        <v>652</v>
      </c>
      <c r="P32" s="114" t="s">
        <v>653</v>
      </c>
      <c r="Q32" s="114" t="s">
        <v>1028</v>
      </c>
      <c r="R32" s="114" t="s">
        <v>1029</v>
      </c>
      <c r="S32" s="114" t="s">
        <v>1023</v>
      </c>
      <c r="T32" s="114" t="s">
        <v>1022</v>
      </c>
      <c r="U32" s="114" t="s">
        <v>1030</v>
      </c>
      <c r="V32" s="114" t="s">
        <v>1031</v>
      </c>
    </row>
    <row r="33" spans="1:22" ht="13" x14ac:dyDescent="0.3">
      <c r="A33" s="116">
        <v>1</v>
      </c>
      <c r="B33" s="117" t="s">
        <v>616</v>
      </c>
      <c r="C33" s="117" t="s">
        <v>616</v>
      </c>
      <c r="D33" s="117" t="s">
        <v>616</v>
      </c>
      <c r="E33" s="117" t="s">
        <v>616</v>
      </c>
      <c r="F33" s="117" t="s">
        <v>616</v>
      </c>
      <c r="G33" s="117" t="s">
        <v>616</v>
      </c>
      <c r="H33" s="117" t="s">
        <v>616</v>
      </c>
      <c r="I33" s="117" t="s">
        <v>616</v>
      </c>
      <c r="J33" s="117" t="s">
        <v>616</v>
      </c>
      <c r="K33" s="117" t="s">
        <v>616</v>
      </c>
      <c r="L33" s="117" t="s">
        <v>616</v>
      </c>
      <c r="M33" s="117" t="s">
        <v>616</v>
      </c>
      <c r="N33" s="117" t="s">
        <v>616</v>
      </c>
      <c r="O33" s="117" t="s">
        <v>616</v>
      </c>
      <c r="P33" s="117" t="s">
        <v>616</v>
      </c>
      <c r="Q33" s="117" t="s">
        <v>616</v>
      </c>
      <c r="R33" s="117" t="s">
        <v>616</v>
      </c>
      <c r="S33" s="117" t="s">
        <v>616</v>
      </c>
      <c r="T33" s="117" t="s">
        <v>616</v>
      </c>
      <c r="U33" s="117" t="s">
        <v>616</v>
      </c>
      <c r="V33" s="117" t="s">
        <v>616</v>
      </c>
    </row>
    <row r="34" spans="1:22" ht="13" x14ac:dyDescent="0.3">
      <c r="A34" s="116">
        <v>2</v>
      </c>
      <c r="B34" s="52"/>
      <c r="C34" s="52"/>
      <c r="D34" s="52" t="s">
        <v>607</v>
      </c>
      <c r="E34" s="52"/>
      <c r="F34" s="52" t="s">
        <v>607</v>
      </c>
      <c r="G34" s="52"/>
      <c r="H34" s="52" t="s">
        <v>607</v>
      </c>
      <c r="I34" s="52"/>
      <c r="J34" s="52" t="s">
        <v>607</v>
      </c>
      <c r="K34" s="52"/>
      <c r="L34" s="52" t="s">
        <v>607</v>
      </c>
      <c r="M34" s="52"/>
      <c r="N34" s="52" t="s">
        <v>607</v>
      </c>
      <c r="O34" s="52" t="s">
        <v>615</v>
      </c>
      <c r="P34" s="52" t="s">
        <v>615</v>
      </c>
      <c r="Q34" s="52" t="s">
        <v>615</v>
      </c>
      <c r="R34" s="52" t="s">
        <v>615</v>
      </c>
      <c r="S34" s="52" t="s">
        <v>615</v>
      </c>
      <c r="T34" s="52" t="s">
        <v>615</v>
      </c>
      <c r="U34" s="52" t="s">
        <v>615</v>
      </c>
      <c r="V34" s="52" t="s">
        <v>615</v>
      </c>
    </row>
    <row r="35" spans="1:22" ht="13" x14ac:dyDescent="0.3">
      <c r="A35" s="116">
        <v>3</v>
      </c>
      <c r="B35" s="52"/>
      <c r="C35" s="52"/>
      <c r="D35" s="52" t="s">
        <v>608</v>
      </c>
      <c r="E35" s="52"/>
      <c r="F35" s="52" t="s">
        <v>608</v>
      </c>
      <c r="G35" s="52"/>
      <c r="H35" s="52" t="s">
        <v>608</v>
      </c>
      <c r="I35" s="52"/>
      <c r="J35" s="52" t="s">
        <v>608</v>
      </c>
      <c r="K35" s="52"/>
      <c r="L35" s="52" t="s">
        <v>608</v>
      </c>
      <c r="M35" s="52"/>
      <c r="N35" s="52" t="s">
        <v>608</v>
      </c>
      <c r="O35" s="52" t="s">
        <v>206</v>
      </c>
      <c r="P35" s="52" t="s">
        <v>206</v>
      </c>
      <c r="Q35" s="52" t="s">
        <v>206</v>
      </c>
      <c r="R35" s="52" t="s">
        <v>206</v>
      </c>
      <c r="S35" s="52" t="s">
        <v>206</v>
      </c>
      <c r="T35" s="52" t="s">
        <v>206</v>
      </c>
      <c r="U35" s="52" t="s">
        <v>206</v>
      </c>
      <c r="V35" s="52" t="s">
        <v>206</v>
      </c>
    </row>
    <row r="36" spans="1:22" ht="13" x14ac:dyDescent="0.3">
      <c r="A36" s="116">
        <v>4</v>
      </c>
      <c r="B36" s="52"/>
      <c r="C36" s="52"/>
      <c r="D36" s="52"/>
      <c r="E36" s="52"/>
      <c r="F36" s="52"/>
      <c r="G36" s="52"/>
      <c r="H36" s="52"/>
      <c r="I36" s="52"/>
      <c r="J36" s="52"/>
      <c r="K36" s="52"/>
      <c r="L36" s="52"/>
      <c r="M36" s="52"/>
      <c r="N36" s="52"/>
      <c r="O36" s="52"/>
      <c r="P36" s="52" t="s">
        <v>607</v>
      </c>
      <c r="Q36" s="52"/>
      <c r="R36" s="52" t="s">
        <v>607</v>
      </c>
      <c r="S36" s="52"/>
      <c r="T36" s="52" t="s">
        <v>607</v>
      </c>
      <c r="U36" s="52"/>
      <c r="V36" s="52" t="s">
        <v>607</v>
      </c>
    </row>
    <row r="37" spans="1:22" ht="13" x14ac:dyDescent="0.3">
      <c r="A37" s="116">
        <v>5</v>
      </c>
      <c r="B37" s="52"/>
      <c r="C37" s="52"/>
      <c r="D37" s="52"/>
      <c r="E37" s="52"/>
      <c r="F37" s="52"/>
      <c r="G37" s="52"/>
      <c r="H37" s="52"/>
      <c r="I37" s="52"/>
      <c r="J37" s="52"/>
      <c r="K37" s="52"/>
      <c r="L37" s="52"/>
      <c r="M37" s="52"/>
      <c r="N37" s="52"/>
      <c r="O37" s="52"/>
      <c r="P37" s="52" t="s">
        <v>608</v>
      </c>
      <c r="Q37" s="52"/>
      <c r="R37" s="52" t="s">
        <v>608</v>
      </c>
      <c r="S37" s="52"/>
      <c r="T37" s="52" t="s">
        <v>608</v>
      </c>
      <c r="U37" s="52"/>
      <c r="V37" s="52" t="s">
        <v>608</v>
      </c>
    </row>
    <row r="39" spans="1:22" ht="14.5" x14ac:dyDescent="0.35">
      <c r="A39" s="113" t="s">
        <v>661</v>
      </c>
      <c r="B39" s="114" t="s">
        <v>643</v>
      </c>
      <c r="C39" s="114" t="s">
        <v>644</v>
      </c>
      <c r="D39" s="114" t="s">
        <v>645</v>
      </c>
      <c r="E39" s="114" t="s">
        <v>646</v>
      </c>
      <c r="F39" s="114" t="s">
        <v>647</v>
      </c>
      <c r="G39" s="114" t="s">
        <v>648</v>
      </c>
      <c r="H39" s="114" t="s">
        <v>649</v>
      </c>
      <c r="I39" s="114" t="s">
        <v>1024</v>
      </c>
      <c r="J39" s="114" t="s">
        <v>1025</v>
      </c>
      <c r="K39" s="114" t="s">
        <v>650</v>
      </c>
      <c r="L39" s="114" t="s">
        <v>651</v>
      </c>
      <c r="M39" s="114" t="s">
        <v>1026</v>
      </c>
      <c r="N39" s="114" t="s">
        <v>1027</v>
      </c>
      <c r="O39" s="114" t="s">
        <v>652</v>
      </c>
      <c r="P39" s="114" t="s">
        <v>653</v>
      </c>
      <c r="Q39" s="114" t="s">
        <v>1028</v>
      </c>
      <c r="R39" s="114" t="s">
        <v>1029</v>
      </c>
      <c r="S39" s="114" t="s">
        <v>1023</v>
      </c>
      <c r="T39" s="114" t="s">
        <v>1022</v>
      </c>
      <c r="U39" s="114" t="s">
        <v>1030</v>
      </c>
      <c r="V39" s="114" t="s">
        <v>1031</v>
      </c>
    </row>
    <row r="40" spans="1:22" ht="13" x14ac:dyDescent="0.3">
      <c r="A40" s="116">
        <v>1</v>
      </c>
      <c r="B40" s="117" t="s">
        <v>194</v>
      </c>
      <c r="C40" s="117" t="s">
        <v>194</v>
      </c>
      <c r="D40" s="117" t="s">
        <v>194</v>
      </c>
      <c r="E40" s="117" t="s">
        <v>194</v>
      </c>
      <c r="F40" s="117" t="s">
        <v>194</v>
      </c>
      <c r="G40" s="117" t="s">
        <v>194</v>
      </c>
      <c r="H40" s="117" t="s">
        <v>194</v>
      </c>
      <c r="I40" s="117" t="s">
        <v>194</v>
      </c>
      <c r="J40" s="117" t="s">
        <v>194</v>
      </c>
      <c r="K40" s="117" t="s">
        <v>194</v>
      </c>
      <c r="L40" s="117" t="s">
        <v>194</v>
      </c>
      <c r="M40" s="117" t="s">
        <v>194</v>
      </c>
      <c r="N40" s="117" t="s">
        <v>194</v>
      </c>
      <c r="O40" s="117" t="s">
        <v>194</v>
      </c>
      <c r="P40" s="117" t="s">
        <v>194</v>
      </c>
      <c r="Q40" s="117" t="s">
        <v>194</v>
      </c>
      <c r="R40" s="117" t="s">
        <v>194</v>
      </c>
      <c r="S40" s="118" t="s">
        <v>194</v>
      </c>
      <c r="T40" s="118" t="s">
        <v>194</v>
      </c>
      <c r="U40" s="118" t="s">
        <v>194</v>
      </c>
      <c r="V40" s="118" t="s">
        <v>194</v>
      </c>
    </row>
    <row r="42" spans="1:22" x14ac:dyDescent="0.25">
      <c r="S42" s="11"/>
      <c r="U42" s="11"/>
    </row>
  </sheetData>
  <pageMargins left="0.7" right="0.7" top="0.75" bottom="0.75" header="0.3" footer="0.3"/>
  <pageSetup orientation="portrait" horizontalDpi="300" verticalDpi="300"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8FACD-6EC1-4AB7-9BE9-D386259C8304}">
  <sheetPr>
    <tabColor theme="0"/>
  </sheetPr>
  <dimension ref="A1:J300"/>
  <sheetViews>
    <sheetView zoomScale="77" workbookViewId="0">
      <selection activeCell="G280" sqref="G280"/>
    </sheetView>
  </sheetViews>
  <sheetFormatPr defaultRowHeight="12.5" x14ac:dyDescent="0.25"/>
  <cols>
    <col min="1" max="1" width="2.36328125" style="8" customWidth="1"/>
    <col min="2" max="2" width="21.08984375" style="8" bestFit="1" customWidth="1"/>
    <col min="3" max="3" width="23.08984375" style="8" bestFit="1" customWidth="1"/>
    <col min="4" max="4" width="39" style="8" bestFit="1" customWidth="1"/>
    <col min="5" max="5" width="55.453125" style="8" bestFit="1" customWidth="1"/>
    <col min="6" max="6" width="30.54296875" style="8" bestFit="1" customWidth="1"/>
    <col min="7" max="16384" width="8.7265625" style="8"/>
  </cols>
  <sheetData>
    <row r="1" spans="1:10" ht="14.5" x14ac:dyDescent="0.35">
      <c r="A1" s="100"/>
      <c r="B1" s="100" t="s">
        <v>662</v>
      </c>
      <c r="C1" s="100" t="s">
        <v>663</v>
      </c>
      <c r="D1" s="100" t="s">
        <v>664</v>
      </c>
      <c r="E1" s="100" t="s">
        <v>665</v>
      </c>
      <c r="F1" s="100" t="s">
        <v>666</v>
      </c>
      <c r="G1" s="100"/>
    </row>
    <row r="2" spans="1:10" x14ac:dyDescent="0.25">
      <c r="A2" s="82"/>
      <c r="B2" s="8" t="s">
        <v>643</v>
      </c>
      <c r="C2" s="8" t="s">
        <v>321</v>
      </c>
      <c r="D2" s="8" t="str">
        <f t="shared" ref="D2:D48" si="0">CONCATENATE(B2,C2)</f>
        <v>TropicalWetForest Zone (Default)</v>
      </c>
      <c r="E2" s="8" t="str">
        <f>D2&amp;COUNTIF($D$2:D2,D2)</f>
        <v>TropicalWetForest Zone (Default)1</v>
      </c>
      <c r="F2" s="8" t="str">
        <f>HLOOKUP('ESVD - SUMMARY TABLE'!B2,'ESVD - Land Use &amp; Climate Match'!$B$1:$V$5,2,FALSE)</f>
        <v>Tropical rain forest</v>
      </c>
      <c r="G2" s="8">
        <f>IFERROR(VLOOKUP(F2,'ESVD - Database'!$C$3:$E$112,3,FALSE),0)</f>
        <v>1127</v>
      </c>
      <c r="I2" s="11" t="s">
        <v>683</v>
      </c>
      <c r="J2" s="119"/>
    </row>
    <row r="3" spans="1:10" x14ac:dyDescent="0.25">
      <c r="A3" s="82"/>
      <c r="B3" s="8" t="s">
        <v>643</v>
      </c>
      <c r="C3" s="8" t="s">
        <v>321</v>
      </c>
      <c r="D3" s="8" t="str">
        <f t="shared" si="0"/>
        <v>TropicalWetForest Zone (Default)</v>
      </c>
      <c r="E3" s="8" t="str">
        <f>D3&amp;COUNTIF($D$2:D3,D3)</f>
        <v>TropicalWetForest Zone (Default)2</v>
      </c>
      <c r="F3" s="8" t="str">
        <f>HLOOKUP('ESVD - SUMMARY TABLE'!B3,'ESVD - Land Use &amp; Climate Match'!$B$1:$V$5,3,FALSE)</f>
        <v>Tropical cloud forests</v>
      </c>
      <c r="G3" s="8">
        <f>IFERROR(VLOOKUP(F3,'ESVD - Database'!$C$3:$E$112,3,FALSE),0)</f>
        <v>1127</v>
      </c>
    </row>
    <row r="4" spans="1:10" x14ac:dyDescent="0.25">
      <c r="A4" s="82"/>
      <c r="B4" s="8" t="s">
        <v>643</v>
      </c>
      <c r="C4" s="8" t="s">
        <v>321</v>
      </c>
      <c r="D4" s="8" t="str">
        <f t="shared" si="0"/>
        <v>TropicalWetForest Zone (Default)</v>
      </c>
      <c r="E4" s="8" t="str">
        <f>D4&amp;COUNTIF($D$2:D4,D4)</f>
        <v>TropicalWetForest Zone (Default)3</v>
      </c>
      <c r="F4" s="8" t="str">
        <f>HLOOKUP('ESVD - SUMMARY TABLE'!B4,'ESVD - Land Use &amp; Climate Match'!$B$1:$V$5,4,FALSE)</f>
        <v>Mangroves</v>
      </c>
      <c r="G4" s="8">
        <f>IFERROR(VLOOKUP(F4,'ESVD - Database'!$C$3:$E$112,3,FALSE),0)</f>
        <v>1127</v>
      </c>
    </row>
    <row r="5" spans="1:10" x14ac:dyDescent="0.25">
      <c r="A5" s="82"/>
      <c r="B5" s="8" t="s">
        <v>644</v>
      </c>
      <c r="C5" s="8" t="s">
        <v>321</v>
      </c>
      <c r="D5" s="8" t="str">
        <f t="shared" si="0"/>
        <v>TropicalMoistForest Zone (Default)</v>
      </c>
      <c r="E5" s="8" t="str">
        <f>D5&amp;COUNTIF($D$2:D5,D5)</f>
        <v>TropicalMoistForest Zone (Default)1</v>
      </c>
      <c r="F5" s="8" t="str">
        <f>HLOOKUP('ESVD - SUMMARY TABLE'!B5,'ESVD - Land Use &amp; Climate Match'!$B$1:$V$5,2,FALSE)</f>
        <v>Tropical rain forest</v>
      </c>
      <c r="G5" s="8">
        <f>IFERROR(VLOOKUP(F5,'ESVD - Database'!$C$3:$E$112,3,FALSE),0)</f>
        <v>1127</v>
      </c>
    </row>
    <row r="6" spans="1:10" x14ac:dyDescent="0.25">
      <c r="A6" s="82"/>
      <c r="B6" s="8" t="s">
        <v>644</v>
      </c>
      <c r="C6" s="8" t="s">
        <v>321</v>
      </c>
      <c r="D6" s="8" t="str">
        <f t="shared" si="0"/>
        <v>TropicalMoistForest Zone (Default)</v>
      </c>
      <c r="E6" s="8" t="str">
        <f>D6&amp;COUNTIF($D$2:D6,D6)</f>
        <v>TropicalMoistForest Zone (Default)2</v>
      </c>
      <c r="F6" s="8" t="str">
        <f>HLOOKUP('ESVD - SUMMARY TABLE'!B6,'ESVD - Land Use &amp; Climate Match'!$B$1:$V$5,3,FALSE)</f>
        <v>Mangroves</v>
      </c>
      <c r="G6" s="8">
        <f>IFERROR(VLOOKUP(F6,'ESVD - Database'!$C$3:$E$112,3,FALSE),0)</f>
        <v>1127</v>
      </c>
    </row>
    <row r="7" spans="1:10" x14ac:dyDescent="0.25">
      <c r="A7" s="82"/>
      <c r="B7" s="8" t="s">
        <v>645</v>
      </c>
      <c r="C7" s="8" t="s">
        <v>321</v>
      </c>
      <c r="D7" s="8" t="str">
        <f t="shared" si="0"/>
        <v>TropicalDryForest Zone (Default)</v>
      </c>
      <c r="E7" s="8" t="str">
        <f>D7&amp;COUNTIF($D$2:D7,D7)</f>
        <v>TropicalDryForest Zone (Default)1</v>
      </c>
      <c r="F7" s="8" t="str">
        <f>HLOOKUP('ESVD - SUMMARY TABLE'!B7,'ESVD - Land Use &amp; Climate Match'!$B$1:$V$5,2,FALSE)</f>
        <v>Tropical dry forest</v>
      </c>
      <c r="G7" s="8">
        <f>IFERROR(VLOOKUP(F7,'ESVD - Database'!$C$3:$E$112,3,FALSE),0)</f>
        <v>1127</v>
      </c>
    </row>
    <row r="8" spans="1:10" x14ac:dyDescent="0.25">
      <c r="A8" s="82"/>
      <c r="B8" s="8" t="s">
        <v>645</v>
      </c>
      <c r="C8" s="8" t="s">
        <v>321</v>
      </c>
      <c r="D8" s="8" t="str">
        <f t="shared" si="0"/>
        <v>TropicalDryForest Zone (Default)</v>
      </c>
      <c r="E8" s="8" t="str">
        <f>D8&amp;COUNTIF($D$2:D8,D8)</f>
        <v>TropicalDryForest Zone (Default)2</v>
      </c>
      <c r="F8" s="8" t="str">
        <f>HLOOKUP('ESVD - SUMMARY TABLE'!B8,'ESVD - Land Use &amp; Climate Match'!$B$1:$V$5,3,FALSE)</f>
        <v>Tropical wood-&amp; shrublands</v>
      </c>
      <c r="G8" s="8">
        <f>IFERROR(VLOOKUP(F8,'ESVD - Database'!$C$3:$E$112,3,FALSE),0)</f>
        <v>1127</v>
      </c>
    </row>
    <row r="9" spans="1:10" x14ac:dyDescent="0.25">
      <c r="A9" s="82"/>
      <c r="B9" s="8" t="s">
        <v>645</v>
      </c>
      <c r="C9" s="8" t="s">
        <v>321</v>
      </c>
      <c r="D9" s="8" t="str">
        <f t="shared" si="0"/>
        <v>TropicalDryForest Zone (Default)</v>
      </c>
      <c r="E9" s="8" t="str">
        <f>D9&amp;COUNTIF($D$2:D9,D9)</f>
        <v>TropicalDryForest Zone (Default)3</v>
      </c>
      <c r="F9" s="8" t="str">
        <f>HLOOKUP('ESVD - SUMMARY TABLE'!B9,'ESVD - Land Use &amp; Climate Match'!$B$1:$V$5,4,FALSE)</f>
        <v>Mangroves</v>
      </c>
      <c r="G9" s="8">
        <f>IFERROR(VLOOKUP(F9,'ESVD - Database'!$C$3:$E$112,3,FALSE),0)</f>
        <v>1127</v>
      </c>
    </row>
    <row r="10" spans="1:10" x14ac:dyDescent="0.25">
      <c r="A10" s="82"/>
      <c r="B10" s="8" t="s">
        <v>646</v>
      </c>
      <c r="C10" s="8" t="s">
        <v>321</v>
      </c>
      <c r="D10" s="8" t="str">
        <f t="shared" si="0"/>
        <v>Tropical MountainMoistForest Zone (Default)</v>
      </c>
      <c r="E10" s="8" t="str">
        <f>D10&amp;COUNTIF($D$2:D10,D10)</f>
        <v>Tropical MountainMoistForest Zone (Default)1</v>
      </c>
      <c r="F10" s="8" t="str">
        <f>HLOOKUP('ESVD - SUMMARY TABLE'!B10,'ESVD - Land Use &amp; Climate Match'!$B$1:$V$5,2,FALSE)</f>
        <v>High Mountain - forest</v>
      </c>
      <c r="G10" s="8">
        <f>IFERROR(VLOOKUP(F10,'ESVD - Database'!$C$3:$E$112,3,FALSE),0)</f>
        <v>1127</v>
      </c>
    </row>
    <row r="11" spans="1:10" x14ac:dyDescent="0.25">
      <c r="A11" s="82"/>
      <c r="B11" s="8" t="s">
        <v>647</v>
      </c>
      <c r="C11" s="8" t="s">
        <v>321</v>
      </c>
      <c r="D11" s="8" t="str">
        <f t="shared" si="0"/>
        <v>Tropical MountainDryForest Zone (Default)</v>
      </c>
      <c r="E11" s="8" t="str">
        <f>D11&amp;COUNTIF($D$2:D11,D11)</f>
        <v>Tropical MountainDryForest Zone (Default)1</v>
      </c>
      <c r="F11" s="8" t="str">
        <f>HLOOKUP('ESVD - SUMMARY TABLE'!B11,'ESVD - Land Use &amp; Climate Match'!$B$1:$V$5,2,FALSE)</f>
        <v>High Mountain - forest</v>
      </c>
      <c r="G11" s="8">
        <f>IFERROR(VLOOKUP(F11,'ESVD - Database'!$C$3:$E$112,3,FALSE),0)</f>
        <v>1127</v>
      </c>
    </row>
    <row r="12" spans="1:10" x14ac:dyDescent="0.25">
      <c r="A12" s="82"/>
      <c r="B12" s="8" t="s">
        <v>648</v>
      </c>
      <c r="C12" s="8" t="s">
        <v>321</v>
      </c>
      <c r="D12" s="8" t="str">
        <f t="shared" si="0"/>
        <v>Warm TemperateMoistForest Zone (Default)</v>
      </c>
      <c r="E12" s="8" t="str">
        <f>D12&amp;COUNTIF($D$2:D12,D12)</f>
        <v>Warm TemperateMoistForest Zone (Default)1</v>
      </c>
      <c r="F12" s="8" t="str">
        <f>HLOOKUP('ESVD - SUMMARY TABLE'!B12,'ESVD - Land Use &amp; Climate Match'!$B$1:$V$5,2,FALSE)</f>
        <v>Temperate rain or evergreen forest</v>
      </c>
      <c r="G12" s="8">
        <f>IFERROR(VLOOKUP(F12,'ESVD - Database'!$C$3:$E$112,3,FALSE),0)</f>
        <v>1127</v>
      </c>
    </row>
    <row r="13" spans="1:10" x14ac:dyDescent="0.25">
      <c r="A13" s="82"/>
      <c r="B13" s="8" t="s">
        <v>648</v>
      </c>
      <c r="C13" s="8" t="s">
        <v>321</v>
      </c>
      <c r="D13" s="8" t="str">
        <f t="shared" si="0"/>
        <v>Warm TemperateMoistForest Zone (Default)</v>
      </c>
      <c r="E13" s="8" t="str">
        <f>D13&amp;COUNTIF($D$2:D13,D13)</f>
        <v>Warm TemperateMoistForest Zone (Default)2</v>
      </c>
      <c r="F13" s="8" t="str">
        <f>HLOOKUP('ESVD - SUMMARY TABLE'!B13,'ESVD - Land Use &amp; Climate Match'!$B$1:$V$5,3,FALSE)</f>
        <v>Mangroves</v>
      </c>
      <c r="G13" s="8">
        <f>IFERROR(VLOOKUP(F13,'ESVD - Database'!$C$3:$E$112,3,FALSE),0)</f>
        <v>1127</v>
      </c>
    </row>
    <row r="14" spans="1:10" x14ac:dyDescent="0.25">
      <c r="A14" s="82"/>
      <c r="B14" s="8" t="s">
        <v>649</v>
      </c>
      <c r="C14" s="8" t="s">
        <v>321</v>
      </c>
      <c r="D14" s="8" t="str">
        <f t="shared" si="0"/>
        <v>Warm TemperateDryForest Zone (Default)</v>
      </c>
      <c r="E14" s="8" t="str">
        <f>D14&amp;COUNTIF($D$2:D14,D14)</f>
        <v>Warm TemperateDryForest Zone (Default)1</v>
      </c>
      <c r="F14" s="8" t="str">
        <f>HLOOKUP('ESVD - SUMMARY TABLE'!B14,'ESVD - Land Use &amp; Climate Match'!$B$1:$V$5,2,FALSE)</f>
        <v>Mediterranean wood-&amp; shrubland</v>
      </c>
      <c r="G14" s="8">
        <f>IFERROR(VLOOKUP(F14,'ESVD - Database'!$C$3:$E$112,3,FALSE),0)</f>
        <v>1127</v>
      </c>
    </row>
    <row r="15" spans="1:10" x14ac:dyDescent="0.25">
      <c r="A15" s="82"/>
      <c r="B15" s="8" t="s">
        <v>649</v>
      </c>
      <c r="C15" s="8" t="s">
        <v>321</v>
      </c>
      <c r="D15" s="8" t="str">
        <f t="shared" si="0"/>
        <v>Warm TemperateDryForest Zone (Default)</v>
      </c>
      <c r="E15" s="8" t="str">
        <f>D15&amp;COUNTIF($D$2:D15,D15)</f>
        <v>Warm TemperateDryForest Zone (Default)2</v>
      </c>
      <c r="F15" s="8" t="str">
        <f>HLOOKUP('ESVD - SUMMARY TABLE'!B15,'ESVD - Land Use &amp; Climate Match'!$B$1:$V$5,3,FALSE)</f>
        <v>Heathland</v>
      </c>
      <c r="G15" s="8">
        <f>IFERROR(VLOOKUP(F15,'ESVD - Database'!$C$3:$E$112,3,FALSE),0)</f>
        <v>1127</v>
      </c>
    </row>
    <row r="16" spans="1:10" x14ac:dyDescent="0.25">
      <c r="A16" s="82"/>
      <c r="B16" s="8" t="s">
        <v>649</v>
      </c>
      <c r="C16" s="8" t="s">
        <v>321</v>
      </c>
      <c r="D16" s="8" t="str">
        <f t="shared" si="0"/>
        <v>Warm TemperateDryForest Zone (Default)</v>
      </c>
      <c r="E16" s="8" t="str">
        <f>D16&amp;COUNTIF($D$2:D16,D16)</f>
        <v>Warm TemperateDryForest Zone (Default)3</v>
      </c>
      <c r="F16" s="8" t="str">
        <f>HLOOKUP('ESVD - SUMMARY TABLE'!B16,'ESVD - Land Use &amp; Climate Match'!$B$1:$V$5,4,FALSE)</f>
        <v>Mangroves</v>
      </c>
      <c r="G16" s="8">
        <f>IFERROR(VLOOKUP(F16,'ESVD - Database'!$C$3:$E$112,3,FALSE),0)</f>
        <v>1127</v>
      </c>
    </row>
    <row r="17" spans="1:7" x14ac:dyDescent="0.25">
      <c r="A17" s="82"/>
      <c r="B17" s="11" t="s">
        <v>1024</v>
      </c>
      <c r="C17" s="8" t="s">
        <v>321</v>
      </c>
      <c r="D17" s="8" t="str">
        <f t="shared" ref="D17:D21" si="1">CONCATENATE(B17,C17)</f>
        <v>Warm Temperate MountainMoistForest Zone (Default)</v>
      </c>
      <c r="E17" s="8" t="str">
        <f>D17&amp;COUNTIF($D$2:D17,D17)</f>
        <v>Warm Temperate MountainMoistForest Zone (Default)1</v>
      </c>
      <c r="F17" s="8" t="str">
        <f>HLOOKUP('ESVD - SUMMARY TABLE'!B17,'ESVD - Land Use &amp; Climate Match'!$B$1:$V$5,2,FALSE)</f>
        <v>Temperate rain or evergreen forest</v>
      </c>
      <c r="G17" s="8">
        <f>IFERROR(VLOOKUP(F17,'ESVD - Database'!$C$3:$E$112,3,FALSE),0)</f>
        <v>1127</v>
      </c>
    </row>
    <row r="18" spans="1:7" x14ac:dyDescent="0.25">
      <c r="A18" s="82"/>
      <c r="B18" s="11" t="s">
        <v>1024</v>
      </c>
      <c r="C18" s="8" t="s">
        <v>321</v>
      </c>
      <c r="D18" s="8" t="str">
        <f t="shared" si="1"/>
        <v>Warm Temperate MountainMoistForest Zone (Default)</v>
      </c>
      <c r="E18" s="8" t="str">
        <f>D18&amp;COUNTIF($D$2:D18,D18)</f>
        <v>Warm Temperate MountainMoistForest Zone (Default)2</v>
      </c>
      <c r="F18" s="8" t="str">
        <f>HLOOKUP('ESVD - SUMMARY TABLE'!B18,'ESVD - Land Use &amp; Climate Match'!$B$1:$V$5,3,FALSE)</f>
        <v>Mangroves</v>
      </c>
      <c r="G18" s="8">
        <f>IFERROR(VLOOKUP(F18,'ESVD - Database'!$C$3:$E$112,3,FALSE),0)</f>
        <v>1127</v>
      </c>
    </row>
    <row r="19" spans="1:7" x14ac:dyDescent="0.25">
      <c r="A19" s="82"/>
      <c r="B19" s="11" t="s">
        <v>1025</v>
      </c>
      <c r="C19" s="8" t="s">
        <v>321</v>
      </c>
      <c r="D19" s="8" t="str">
        <f t="shared" si="1"/>
        <v>Warm Temperate MountainDryForest Zone (Default)</v>
      </c>
      <c r="E19" s="8" t="str">
        <f>D19&amp;COUNTIF($D$2:D19,D19)</f>
        <v>Warm Temperate MountainDryForest Zone (Default)1</v>
      </c>
      <c r="F19" s="8" t="str">
        <f>HLOOKUP('ESVD - SUMMARY TABLE'!B19,'ESVD - Land Use &amp; Climate Match'!$B$1:$V$5,2,FALSE)</f>
        <v>Mediterranean wood-&amp; shrubland</v>
      </c>
      <c r="G19" s="8">
        <f>IFERROR(VLOOKUP(F19,'ESVD - Database'!$C$3:$E$112,3,FALSE),0)</f>
        <v>1127</v>
      </c>
    </row>
    <row r="20" spans="1:7" x14ac:dyDescent="0.25">
      <c r="A20" s="82"/>
      <c r="B20" s="11" t="s">
        <v>1025</v>
      </c>
      <c r="C20" s="8" t="s">
        <v>321</v>
      </c>
      <c r="D20" s="8" t="str">
        <f t="shared" si="1"/>
        <v>Warm Temperate MountainDryForest Zone (Default)</v>
      </c>
      <c r="E20" s="8" t="str">
        <f>D20&amp;COUNTIF($D$2:D20,D20)</f>
        <v>Warm Temperate MountainDryForest Zone (Default)2</v>
      </c>
      <c r="F20" s="8" t="str">
        <f>HLOOKUP('ESVD - SUMMARY TABLE'!B20,'ESVD - Land Use &amp; Climate Match'!$B$1:$V$5,3,FALSE)</f>
        <v>Heathland</v>
      </c>
      <c r="G20" s="8">
        <f>IFERROR(VLOOKUP(F20,'ESVD - Database'!$C$3:$E$112,3,FALSE),0)</f>
        <v>1127</v>
      </c>
    </row>
    <row r="21" spans="1:7" x14ac:dyDescent="0.25">
      <c r="A21" s="82"/>
      <c r="B21" s="11" t="s">
        <v>1025</v>
      </c>
      <c r="C21" s="8" t="s">
        <v>321</v>
      </c>
      <c r="D21" s="8" t="str">
        <f t="shared" si="1"/>
        <v>Warm Temperate MountainDryForest Zone (Default)</v>
      </c>
      <c r="E21" s="8" t="str">
        <f>D21&amp;COUNTIF($D$2:D21,D21)</f>
        <v>Warm Temperate MountainDryForest Zone (Default)3</v>
      </c>
      <c r="F21" s="8" t="str">
        <f>HLOOKUP('ESVD - SUMMARY TABLE'!B21,'ESVD - Land Use &amp; Climate Match'!$B$1:$V$5,4,FALSE)</f>
        <v>Mangroves</v>
      </c>
      <c r="G21" s="8">
        <f>IFERROR(VLOOKUP(F21,'ESVD - Database'!$C$3:$E$112,3,FALSE),0)</f>
        <v>1127</v>
      </c>
    </row>
    <row r="22" spans="1:7" x14ac:dyDescent="0.25">
      <c r="A22" s="82"/>
      <c r="B22" s="8" t="s">
        <v>650</v>
      </c>
      <c r="C22" s="8" t="s">
        <v>321</v>
      </c>
      <c r="D22" s="8" t="str">
        <f t="shared" si="0"/>
        <v>Cool TemperateMoistForest Zone (Default)</v>
      </c>
      <c r="E22" s="8" t="str">
        <f>D22&amp;COUNTIF($D$2:D22,D22)</f>
        <v>Cool TemperateMoistForest Zone (Default)1</v>
      </c>
      <c r="F22" s="8" t="str">
        <f>HLOOKUP('ESVD - SUMMARY TABLE'!B22,'ESVD - Land Use &amp; Climate Match'!$B$1:$V$5,2,FALSE)</f>
        <v>Temperate rain or evergreen forest</v>
      </c>
      <c r="G22" s="8">
        <f>IFERROR(VLOOKUP(F22,'ESVD - Database'!$C$3:$E$112,3,FALSE),0)</f>
        <v>1127</v>
      </c>
    </row>
    <row r="23" spans="1:7" x14ac:dyDescent="0.25">
      <c r="A23" s="82"/>
      <c r="B23" s="8" t="s">
        <v>650</v>
      </c>
      <c r="C23" s="8" t="s">
        <v>321</v>
      </c>
      <c r="D23" s="8" t="str">
        <f t="shared" si="0"/>
        <v>Cool TemperateMoistForest Zone (Default)</v>
      </c>
      <c r="E23" s="8" t="str">
        <f>D23&amp;COUNTIF($D$2:D23,D23)</f>
        <v>Cool TemperateMoistForest Zone (Default)2</v>
      </c>
      <c r="F23" s="8" t="str">
        <f>HLOOKUP('ESVD - SUMMARY TABLE'!B23,'ESVD - Land Use &amp; Climate Match'!$B$1:$V$5,3,FALSE)</f>
        <v>Temperate deciduous forest</v>
      </c>
      <c r="G23" s="8">
        <f>IFERROR(VLOOKUP(F23,'ESVD - Database'!$C$3:$E$112,3,FALSE),0)</f>
        <v>1127</v>
      </c>
    </row>
    <row r="24" spans="1:7" x14ac:dyDescent="0.25">
      <c r="A24" s="82"/>
      <c r="B24" s="8" t="s">
        <v>650</v>
      </c>
      <c r="C24" s="8" t="s">
        <v>321</v>
      </c>
      <c r="D24" s="8" t="str">
        <f t="shared" si="0"/>
        <v>Cool TemperateMoistForest Zone (Default)</v>
      </c>
      <c r="E24" s="8" t="str">
        <f>D24&amp;COUNTIF($D$2:D24,D24)</f>
        <v>Cool TemperateMoistForest Zone (Default)3</v>
      </c>
      <c r="F24" s="8" t="str">
        <f>HLOOKUP('ESVD - SUMMARY TABLE'!B24,'ESVD - Land Use &amp; Climate Match'!$B$1:$V$5,4,FALSE)</f>
        <v>Mangroves</v>
      </c>
      <c r="G24" s="8">
        <f>IFERROR(VLOOKUP(F24,'ESVD - Database'!$C$3:$E$112,3,FALSE),0)</f>
        <v>1127</v>
      </c>
    </row>
    <row r="25" spans="1:7" x14ac:dyDescent="0.25">
      <c r="A25" s="82"/>
      <c r="B25" s="8" t="s">
        <v>651</v>
      </c>
      <c r="C25" s="8" t="s">
        <v>321</v>
      </c>
      <c r="D25" s="8" t="str">
        <f t="shared" si="0"/>
        <v>Cool TemperateDryForest Zone (Default)</v>
      </c>
      <c r="E25" s="8" t="str">
        <f>D25&amp;COUNTIF($D$2:D25,D25)</f>
        <v>Cool TemperateDryForest Zone (Default)1</v>
      </c>
      <c r="F25" s="8" t="str">
        <f>HLOOKUP('ESVD - SUMMARY TABLE'!B25,'ESVD - Land Use &amp; Climate Match'!$B$1:$V$5,2,FALSE)</f>
        <v>Temperate wood-&amp; shrubland</v>
      </c>
      <c r="G25" s="8">
        <f>IFERROR(VLOOKUP(F25,'ESVD - Database'!$C$3:$E$112,3,FALSE),0)</f>
        <v>1127</v>
      </c>
    </row>
    <row r="26" spans="1:7" x14ac:dyDescent="0.25">
      <c r="A26" s="82"/>
      <c r="B26" s="8" t="s">
        <v>651</v>
      </c>
      <c r="C26" s="8" t="s">
        <v>321</v>
      </c>
      <c r="D26" s="8" t="str">
        <f t="shared" si="0"/>
        <v>Cool TemperateDryForest Zone (Default)</v>
      </c>
      <c r="E26" s="8" t="str">
        <f>D26&amp;COUNTIF($D$2:D26,D26)</f>
        <v>Cool TemperateDryForest Zone (Default)2</v>
      </c>
      <c r="F26" s="8" t="str">
        <f>HLOOKUP('ESVD - SUMMARY TABLE'!B26,'ESVD - Land Use &amp; Climate Match'!$B$1:$V$5,3,FALSE)</f>
        <v>Temperate deciduous forest</v>
      </c>
      <c r="G26" s="8">
        <f>IFERROR(VLOOKUP(F26,'ESVD - Database'!$C$3:$E$112,3,FALSE),0)</f>
        <v>1127</v>
      </c>
    </row>
    <row r="27" spans="1:7" x14ac:dyDescent="0.25">
      <c r="A27" s="82"/>
      <c r="B27" s="8" t="s">
        <v>651</v>
      </c>
      <c r="C27" s="8" t="s">
        <v>321</v>
      </c>
      <c r="D27" s="8" t="str">
        <f t="shared" si="0"/>
        <v>Cool TemperateDryForest Zone (Default)</v>
      </c>
      <c r="E27" s="8" t="str">
        <f>D27&amp;COUNTIF($D$2:D27,D27)</f>
        <v>Cool TemperateDryForest Zone (Default)3</v>
      </c>
      <c r="F27" s="8" t="str">
        <f>HLOOKUP('ESVD - SUMMARY TABLE'!B27,'ESVD - Land Use &amp; Climate Match'!$B$1:$V$5,4,FALSE)</f>
        <v>Mangroves</v>
      </c>
      <c r="G27" s="8">
        <f>IFERROR(VLOOKUP(F27,'ESVD - Database'!$C$3:$E$112,3,FALSE),0)</f>
        <v>1127</v>
      </c>
    </row>
    <row r="28" spans="1:7" x14ac:dyDescent="0.25">
      <c r="A28" s="82"/>
      <c r="B28" s="8" t="s">
        <v>651</v>
      </c>
      <c r="C28" s="8" t="s">
        <v>321</v>
      </c>
      <c r="D28" s="8" t="str">
        <f t="shared" si="0"/>
        <v>Cool TemperateDryForest Zone (Default)</v>
      </c>
      <c r="E28" s="8" t="str">
        <f>D28&amp;COUNTIF($D$2:D28,D28)</f>
        <v>Cool TemperateDryForest Zone (Default)4</v>
      </c>
      <c r="F28" s="8" t="str">
        <f>HLOOKUP('ESVD - SUMMARY TABLE'!B28,'ESVD - Land Use &amp; Climate Match'!$B$1:$V$5,5,FALSE)</f>
        <v>Heathland</v>
      </c>
      <c r="G28" s="8">
        <f>IFERROR(VLOOKUP(F28,'ESVD - Database'!$C$3:$E$112,3,FALSE),0)</f>
        <v>1127</v>
      </c>
    </row>
    <row r="29" spans="1:7" x14ac:dyDescent="0.25">
      <c r="A29" s="82"/>
      <c r="B29" s="11" t="s">
        <v>1026</v>
      </c>
      <c r="C29" s="8" t="s">
        <v>321</v>
      </c>
      <c r="D29" s="8" t="str">
        <f t="shared" ref="D29:D35" si="2">CONCATENATE(B29,C29)</f>
        <v>Cool Temperate MountainMoistForest Zone (Default)</v>
      </c>
      <c r="E29" s="8" t="str">
        <f>D29&amp;COUNTIF($D$2:D29,D29)</f>
        <v>Cool Temperate MountainMoistForest Zone (Default)1</v>
      </c>
      <c r="F29" s="8" t="str">
        <f>HLOOKUP('ESVD - SUMMARY TABLE'!B29,'ESVD - Land Use &amp; Climate Match'!$B$1:$V$5,2,FALSE)</f>
        <v>Temperate rain or evergreen forest</v>
      </c>
      <c r="G29" s="8">
        <f>IFERROR(VLOOKUP(F29,'ESVD - Database'!$C$3:$E$112,3,FALSE),0)</f>
        <v>1127</v>
      </c>
    </row>
    <row r="30" spans="1:7" x14ac:dyDescent="0.25">
      <c r="A30" s="82"/>
      <c r="B30" s="11" t="s">
        <v>1026</v>
      </c>
      <c r="C30" s="8" t="s">
        <v>321</v>
      </c>
      <c r="D30" s="8" t="str">
        <f t="shared" si="2"/>
        <v>Cool Temperate MountainMoistForest Zone (Default)</v>
      </c>
      <c r="E30" s="8" t="str">
        <f>D30&amp;COUNTIF($D$2:D30,D30)</f>
        <v>Cool Temperate MountainMoistForest Zone (Default)2</v>
      </c>
      <c r="F30" s="8" t="str">
        <f>HLOOKUP('ESVD - SUMMARY TABLE'!B30,'ESVD - Land Use &amp; Climate Match'!$B$1:$V$5,3,FALSE)</f>
        <v>Temperate deciduous forest</v>
      </c>
      <c r="G30" s="8">
        <f>IFERROR(VLOOKUP(F30,'ESVD - Database'!$C$3:$E$112,3,FALSE),0)</f>
        <v>1127</v>
      </c>
    </row>
    <row r="31" spans="1:7" x14ac:dyDescent="0.25">
      <c r="A31" s="82"/>
      <c r="B31" s="11" t="s">
        <v>1026</v>
      </c>
      <c r="C31" s="8" t="s">
        <v>321</v>
      </c>
      <c r="D31" s="8" t="str">
        <f t="shared" si="2"/>
        <v>Cool Temperate MountainMoistForest Zone (Default)</v>
      </c>
      <c r="E31" s="8" t="str">
        <f>D31&amp;COUNTIF($D$2:D31,D31)</f>
        <v>Cool Temperate MountainMoistForest Zone (Default)3</v>
      </c>
      <c r="F31" s="8" t="str">
        <f>HLOOKUP('ESVD - SUMMARY TABLE'!B31,'ESVD - Land Use &amp; Climate Match'!$B$1:$V$5,4,FALSE)</f>
        <v>Mangroves</v>
      </c>
      <c r="G31" s="8">
        <f>IFERROR(VLOOKUP(F31,'ESVD - Database'!$C$3:$E$112,3,FALSE),0)</f>
        <v>1127</v>
      </c>
    </row>
    <row r="32" spans="1:7" x14ac:dyDescent="0.25">
      <c r="A32" s="82"/>
      <c r="B32" s="11" t="s">
        <v>1027</v>
      </c>
      <c r="C32" s="8" t="s">
        <v>321</v>
      </c>
      <c r="D32" s="8" t="str">
        <f t="shared" si="2"/>
        <v>Cool Temperate MountainDryForest Zone (Default)</v>
      </c>
      <c r="E32" s="8" t="str">
        <f>D32&amp;COUNTIF($D$2:D32,D32)</f>
        <v>Cool Temperate MountainDryForest Zone (Default)1</v>
      </c>
      <c r="F32" s="8" t="str">
        <f>HLOOKUP('ESVD - SUMMARY TABLE'!B32,'ESVD - Land Use &amp; Climate Match'!$B$1:$V$5,2,FALSE)</f>
        <v>Temperate wood-&amp; shrubland</v>
      </c>
      <c r="G32" s="8">
        <f>IFERROR(VLOOKUP(F32,'ESVD - Database'!$C$3:$E$112,3,FALSE),0)</f>
        <v>1127</v>
      </c>
    </row>
    <row r="33" spans="1:7" x14ac:dyDescent="0.25">
      <c r="A33" s="82"/>
      <c r="B33" s="11" t="s">
        <v>1027</v>
      </c>
      <c r="C33" s="8" t="s">
        <v>321</v>
      </c>
      <c r="D33" s="8" t="str">
        <f t="shared" si="2"/>
        <v>Cool Temperate MountainDryForest Zone (Default)</v>
      </c>
      <c r="E33" s="8" t="str">
        <f>D33&amp;COUNTIF($D$2:D33,D33)</f>
        <v>Cool Temperate MountainDryForest Zone (Default)2</v>
      </c>
      <c r="F33" s="8" t="str">
        <f>HLOOKUP('ESVD - SUMMARY TABLE'!B33,'ESVD - Land Use &amp; Climate Match'!$B$1:$V$5,3,FALSE)</f>
        <v>Temperate deciduous forest</v>
      </c>
      <c r="G33" s="8">
        <f>IFERROR(VLOOKUP(F33,'ESVD - Database'!$C$3:$E$112,3,FALSE),0)</f>
        <v>1127</v>
      </c>
    </row>
    <row r="34" spans="1:7" x14ac:dyDescent="0.25">
      <c r="A34" s="82"/>
      <c r="B34" s="11" t="s">
        <v>1027</v>
      </c>
      <c r="C34" s="8" t="s">
        <v>321</v>
      </c>
      <c r="D34" s="8" t="str">
        <f t="shared" si="2"/>
        <v>Cool Temperate MountainDryForest Zone (Default)</v>
      </c>
      <c r="E34" s="8" t="str">
        <f>D34&amp;COUNTIF($D$2:D34,D34)</f>
        <v>Cool Temperate MountainDryForest Zone (Default)3</v>
      </c>
      <c r="F34" s="8" t="str">
        <f>HLOOKUP('ESVD - SUMMARY TABLE'!B34,'ESVD - Land Use &amp; Climate Match'!$B$1:$V$5,4,FALSE)</f>
        <v>Mangroves</v>
      </c>
      <c r="G34" s="8">
        <f>IFERROR(VLOOKUP(F34,'ESVD - Database'!$C$3:$E$112,3,FALSE),0)</f>
        <v>1127</v>
      </c>
    </row>
    <row r="35" spans="1:7" x14ac:dyDescent="0.25">
      <c r="A35" s="82"/>
      <c r="B35" s="11" t="s">
        <v>1027</v>
      </c>
      <c r="C35" s="8" t="s">
        <v>321</v>
      </c>
      <c r="D35" s="8" t="str">
        <f t="shared" si="2"/>
        <v>Cool Temperate MountainDryForest Zone (Default)</v>
      </c>
      <c r="E35" s="8" t="str">
        <f>D35&amp;COUNTIF($D$2:D35,D35)</f>
        <v>Cool Temperate MountainDryForest Zone (Default)4</v>
      </c>
      <c r="F35" s="8" t="str">
        <f>HLOOKUP('ESVD - SUMMARY TABLE'!B35,'ESVD - Land Use &amp; Climate Match'!$B$1:$V$5,5,FALSE)</f>
        <v>Heathland</v>
      </c>
      <c r="G35" s="8">
        <f>IFERROR(VLOOKUP(F35,'ESVD - Database'!$C$3:$E$112,3,FALSE),0)</f>
        <v>1127</v>
      </c>
    </row>
    <row r="36" spans="1:7" x14ac:dyDescent="0.25">
      <c r="A36" s="82"/>
      <c r="B36" s="8" t="s">
        <v>652</v>
      </c>
      <c r="C36" s="8" t="s">
        <v>321</v>
      </c>
      <c r="D36" s="8" t="str">
        <f t="shared" si="0"/>
        <v>BorealMoistForest Zone (Default)</v>
      </c>
      <c r="E36" s="8" t="str">
        <f>D36&amp;COUNTIF($D$2:D36,D36)</f>
        <v>BorealMoistForest Zone (Default)1</v>
      </c>
      <c r="F36" s="8" t="str">
        <f>HLOOKUP('ESVD - SUMMARY TABLE'!B36,'ESVD - Land Use &amp; Climate Match'!$B$1:$V$5,2,FALSE)</f>
        <v>Boreal/coniferous forest ('Taiga')</v>
      </c>
      <c r="G36" s="8">
        <f>IFERROR(VLOOKUP(F36,'ESVD - Database'!$C$3:$E$112,3,FALSE),0)</f>
        <v>1127</v>
      </c>
    </row>
    <row r="37" spans="1:7" x14ac:dyDescent="0.25">
      <c r="A37" s="82"/>
      <c r="B37" s="8" t="s">
        <v>652</v>
      </c>
      <c r="C37" s="8" t="s">
        <v>321</v>
      </c>
      <c r="D37" s="8" t="str">
        <f t="shared" si="0"/>
        <v>BorealMoistForest Zone (Default)</v>
      </c>
      <c r="E37" s="8" t="str">
        <f>D37&amp;COUNTIF($D$2:D37,D37)</f>
        <v>BorealMoistForest Zone (Default)2</v>
      </c>
      <c r="F37" s="8" t="str">
        <f>HLOOKUP('ESVD - SUMMARY TABLE'!B37,'ESVD - Land Use &amp; Climate Match'!$B$1:$V$5,3,FALSE)</f>
        <v>High Mountain - forest</v>
      </c>
      <c r="G37" s="8">
        <f>IFERROR(VLOOKUP(F37,'ESVD - Database'!$C$3:$E$112,3,FALSE),0)</f>
        <v>1127</v>
      </c>
    </row>
    <row r="38" spans="1:7" x14ac:dyDescent="0.25">
      <c r="A38" s="82"/>
      <c r="B38" s="8" t="s">
        <v>653</v>
      </c>
      <c r="C38" s="8" t="s">
        <v>321</v>
      </c>
      <c r="D38" s="8" t="str">
        <f t="shared" si="0"/>
        <v>BorealDryForest Zone (Default)</v>
      </c>
      <c r="E38" s="8" t="str">
        <f>D38&amp;COUNTIF($D$2:D38,D38)</f>
        <v>BorealDryForest Zone (Default)1</v>
      </c>
      <c r="F38" s="8" t="str">
        <f>HLOOKUP('ESVD - SUMMARY TABLE'!B38,'ESVD - Land Use &amp; Climate Match'!$B$1:$V$5,2,FALSE)</f>
        <v>Boreal/coniferous forest ('Taiga')</v>
      </c>
      <c r="G38" s="8">
        <f>IFERROR(VLOOKUP(F38,'ESVD - Database'!$C$3:$E$112,3,FALSE),0)</f>
        <v>1127</v>
      </c>
    </row>
    <row r="39" spans="1:7" x14ac:dyDescent="0.25">
      <c r="A39" s="82"/>
      <c r="B39" s="8" t="s">
        <v>653</v>
      </c>
      <c r="C39" s="8" t="s">
        <v>321</v>
      </c>
      <c r="D39" s="8" t="str">
        <f t="shared" si="0"/>
        <v>BorealDryForest Zone (Default)</v>
      </c>
      <c r="E39" s="8" t="str">
        <f>D39&amp;COUNTIF($D$2:D39,D39)</f>
        <v>BorealDryForest Zone (Default)2</v>
      </c>
      <c r="F39" s="8" t="str">
        <f>HLOOKUP('ESVD - SUMMARY TABLE'!B39,'ESVD - Land Use &amp; Climate Match'!$B$1:$V$5,3,FALSE)</f>
        <v>High Mountain - forest</v>
      </c>
      <c r="G39" s="8">
        <f>IFERROR(VLOOKUP(F39,'ESVD - Database'!$C$3:$E$112,3,FALSE),0)</f>
        <v>1127</v>
      </c>
    </row>
    <row r="40" spans="1:7" x14ac:dyDescent="0.25">
      <c r="A40" s="82"/>
      <c r="B40" s="11" t="s">
        <v>1028</v>
      </c>
      <c r="C40" s="8" t="s">
        <v>321</v>
      </c>
      <c r="D40" s="8" t="str">
        <f t="shared" ref="D40:D43" si="3">CONCATENATE(B40,C40)</f>
        <v>Boreal MountainMoistForest Zone (Default)</v>
      </c>
      <c r="E40" s="8" t="str">
        <f>D40&amp;COUNTIF($D$2:D40,D40)</f>
        <v>Boreal MountainMoistForest Zone (Default)1</v>
      </c>
      <c r="F40" s="8" t="str">
        <f>HLOOKUP('ESVD - SUMMARY TABLE'!B40,'ESVD - Land Use &amp; Climate Match'!$B$1:$V$5,2,FALSE)</f>
        <v>Boreal/coniferous forest ('Taiga')</v>
      </c>
      <c r="G40" s="8">
        <f>IFERROR(VLOOKUP(F40,'ESVD - Database'!$C$3:$E$112,3,FALSE),0)</f>
        <v>1127</v>
      </c>
    </row>
    <row r="41" spans="1:7" x14ac:dyDescent="0.25">
      <c r="A41" s="82"/>
      <c r="B41" s="11" t="s">
        <v>1028</v>
      </c>
      <c r="C41" s="8" t="s">
        <v>321</v>
      </c>
      <c r="D41" s="8" t="str">
        <f t="shared" si="3"/>
        <v>Boreal MountainMoistForest Zone (Default)</v>
      </c>
      <c r="E41" s="8" t="str">
        <f>D41&amp;COUNTIF($D$2:D41,D41)</f>
        <v>Boreal MountainMoistForest Zone (Default)2</v>
      </c>
      <c r="F41" s="8" t="str">
        <f>HLOOKUP('ESVD - SUMMARY TABLE'!B41,'ESVD - Land Use &amp; Climate Match'!$B$1:$V$5,3,FALSE)</f>
        <v>High Mountain - forest</v>
      </c>
      <c r="G41" s="8">
        <f>IFERROR(VLOOKUP(F41,'ESVD - Database'!$C$3:$E$112,3,FALSE),0)</f>
        <v>1127</v>
      </c>
    </row>
    <row r="42" spans="1:7" x14ac:dyDescent="0.25">
      <c r="A42" s="82"/>
      <c r="B42" s="11" t="s">
        <v>1029</v>
      </c>
      <c r="C42" s="8" t="s">
        <v>321</v>
      </c>
      <c r="D42" s="8" t="str">
        <f t="shared" si="3"/>
        <v>Boreal MountainDryForest Zone (Default)</v>
      </c>
      <c r="E42" s="8" t="str">
        <f>D42&amp;COUNTIF($D$2:D42,D42)</f>
        <v>Boreal MountainDryForest Zone (Default)1</v>
      </c>
      <c r="F42" s="8" t="str">
        <f>HLOOKUP('ESVD - SUMMARY TABLE'!B42,'ESVD - Land Use &amp; Climate Match'!$B$1:$V$5,2,FALSE)</f>
        <v>Boreal/coniferous forest ('Taiga')</v>
      </c>
      <c r="G42" s="8">
        <f>IFERROR(VLOOKUP(F42,'ESVD - Database'!$C$3:$E$112,3,FALSE),0)</f>
        <v>1127</v>
      </c>
    </row>
    <row r="43" spans="1:7" x14ac:dyDescent="0.25">
      <c r="A43" s="82"/>
      <c r="B43" s="11" t="s">
        <v>1029</v>
      </c>
      <c r="C43" s="8" t="s">
        <v>321</v>
      </c>
      <c r="D43" s="8" t="str">
        <f t="shared" si="3"/>
        <v>Boreal MountainDryForest Zone (Default)</v>
      </c>
      <c r="E43" s="8" t="str">
        <f>D43&amp;COUNTIF($D$2:D43,D43)</f>
        <v>Boreal MountainDryForest Zone (Default)2</v>
      </c>
      <c r="F43" s="8" t="str">
        <f>HLOOKUP('ESVD - SUMMARY TABLE'!B43,'ESVD - Land Use &amp; Climate Match'!$B$1:$V$5,3,FALSE)</f>
        <v>High Mountain - forest</v>
      </c>
      <c r="G43" s="8">
        <f>IFERROR(VLOOKUP(F43,'ESVD - Database'!$C$3:$E$112,3,FALSE),0)</f>
        <v>1127</v>
      </c>
    </row>
    <row r="44" spans="1:7" x14ac:dyDescent="0.25">
      <c r="A44" s="82"/>
      <c r="B44" s="11" t="s">
        <v>1023</v>
      </c>
      <c r="C44" s="8" t="s">
        <v>321</v>
      </c>
      <c r="D44" s="8" t="str">
        <f t="shared" ref="D44:D45" si="4">CONCATENATE(B44,C44)</f>
        <v>PolarMoistForest Zone (Default)</v>
      </c>
      <c r="E44" s="8" t="str">
        <f>D44&amp;COUNTIF($D$2:D44,D44)</f>
        <v>PolarMoistForest Zone (Default)1</v>
      </c>
      <c r="F44" s="8" t="str">
        <f>HLOOKUP('ESVD - SUMMARY TABLE'!B44,'ESVD - Land Use &amp; Climate Match'!$B$1:$V$5,2,FALSE)</f>
        <v>High Mountain - forest</v>
      </c>
      <c r="G44" s="8">
        <f>IFERROR(VLOOKUP(F44,'ESVD - Database'!$C$3:$E$112,3,FALSE),0)</f>
        <v>1127</v>
      </c>
    </row>
    <row r="45" spans="1:7" x14ac:dyDescent="0.25">
      <c r="A45" s="82"/>
      <c r="B45" s="11" t="s">
        <v>1022</v>
      </c>
      <c r="C45" s="8" t="s">
        <v>321</v>
      </c>
      <c r="D45" s="8" t="str">
        <f t="shared" si="4"/>
        <v>PolarDryForest Zone (Default)</v>
      </c>
      <c r="E45" s="8" t="str">
        <f>D45&amp;COUNTIF($D$2:D45,D45)</f>
        <v>PolarDryForest Zone (Default)1</v>
      </c>
      <c r="F45" s="8" t="str">
        <f>HLOOKUP('ESVD - SUMMARY TABLE'!B45,'ESVD - Land Use &amp; Climate Match'!$B$1:$V$5,2,FALSE)</f>
        <v>High Mountain - forest</v>
      </c>
      <c r="G45" s="8">
        <f>IFERROR(VLOOKUP(F45,'ESVD - Database'!$C$3:$E$112,3,FALSE),0)</f>
        <v>1127</v>
      </c>
    </row>
    <row r="46" spans="1:7" x14ac:dyDescent="0.25">
      <c r="A46" s="82"/>
      <c r="B46" s="11" t="s">
        <v>1030</v>
      </c>
      <c r="C46" s="8" t="s">
        <v>321</v>
      </c>
      <c r="D46" s="8" t="str">
        <f t="shared" ref="D46:D47" si="5">CONCATENATE(B46,C46)</f>
        <v>Polar MountainMoistForest Zone (Default)</v>
      </c>
      <c r="E46" s="8" t="str">
        <f>D46&amp;COUNTIF($D$2:D46,D46)</f>
        <v>Polar MountainMoistForest Zone (Default)1</v>
      </c>
      <c r="F46" s="8" t="str">
        <f>HLOOKUP('ESVD - SUMMARY TABLE'!B46,'ESVD - Land Use &amp; Climate Match'!$B$1:$V$5,2,FALSE)</f>
        <v>High Mountain - forest</v>
      </c>
      <c r="G46" s="8">
        <f>IFERROR(VLOOKUP(F46,'ESVD - Database'!$C$3:$E$112,3,FALSE),0)</f>
        <v>1127</v>
      </c>
    </row>
    <row r="47" spans="1:7" x14ac:dyDescent="0.25">
      <c r="A47" s="82"/>
      <c r="B47" s="11" t="s">
        <v>1031</v>
      </c>
      <c r="C47" s="8" t="s">
        <v>321</v>
      </c>
      <c r="D47" s="8" t="str">
        <f t="shared" si="5"/>
        <v>Polar MountainDryForest Zone (Default)</v>
      </c>
      <c r="E47" s="8" t="str">
        <f>D47&amp;COUNTIF($D$2:D47,D47)</f>
        <v>Polar MountainDryForest Zone (Default)1</v>
      </c>
      <c r="F47" s="8" t="str">
        <f>HLOOKUP('ESVD - SUMMARY TABLE'!B47,'ESVD - Land Use &amp; Climate Match'!$B$1:$V$5,2,FALSE)</f>
        <v>High Mountain - forest</v>
      </c>
      <c r="G47" s="8">
        <f>IFERROR(VLOOKUP(F47,'ESVD - Database'!$C$3:$E$112,3,FALSE),0)</f>
        <v>1127</v>
      </c>
    </row>
    <row r="48" spans="1:7" x14ac:dyDescent="0.25">
      <c r="A48" s="83"/>
      <c r="B48" s="8" t="s">
        <v>643</v>
      </c>
      <c r="C48" s="8" t="s">
        <v>329</v>
      </c>
      <c r="D48" s="8" t="str">
        <f t="shared" si="0"/>
        <v>TropicalWetForest Plantation</v>
      </c>
      <c r="E48" s="8" t="str">
        <f>D48&amp;COUNTIF($D$2:D48,D48)</f>
        <v>TropicalWetForest Plantation1</v>
      </c>
      <c r="F48" s="8" t="str">
        <f>HLOOKUP('ESVD - SUMMARY TABLE'!B48,'ESVD - Land Use &amp; Climate Match'!$B$7:$V$8,2,FALSE)</f>
        <v>Plantations</v>
      </c>
      <c r="G48" s="8">
        <f>IFERROR(VLOOKUP(F48,'ESVD - Database'!$C$3:$E$112,3,FALSE),0)</f>
        <v>1127</v>
      </c>
    </row>
    <row r="49" spans="1:7" x14ac:dyDescent="0.25">
      <c r="A49" s="83"/>
      <c r="B49" s="8" t="s">
        <v>644</v>
      </c>
      <c r="C49" s="8" t="s">
        <v>329</v>
      </c>
      <c r="D49" s="8" t="str">
        <f t="shared" ref="D49:D58" si="6">CONCATENATE(B49,C49)</f>
        <v>TropicalMoistForest Plantation</v>
      </c>
      <c r="E49" s="8" t="str">
        <f>D49&amp;COUNTIF($D$2:D49,D49)</f>
        <v>TropicalMoistForest Plantation1</v>
      </c>
      <c r="F49" s="8" t="str">
        <f>HLOOKUP('ESVD - SUMMARY TABLE'!B49,'ESVD - Land Use &amp; Climate Match'!$B$7:$V$8,2,FALSE)</f>
        <v>Plantations</v>
      </c>
      <c r="G49" s="8">
        <f>IFERROR(VLOOKUP(F49,'ESVD - Database'!$C$3:$E$112,3,FALSE),0)</f>
        <v>1127</v>
      </c>
    </row>
    <row r="50" spans="1:7" x14ac:dyDescent="0.25">
      <c r="A50" s="83"/>
      <c r="B50" s="8" t="s">
        <v>645</v>
      </c>
      <c r="C50" s="8" t="s">
        <v>329</v>
      </c>
      <c r="D50" s="8" t="str">
        <f t="shared" si="6"/>
        <v>TropicalDryForest Plantation</v>
      </c>
      <c r="E50" s="8" t="str">
        <f>D50&amp;COUNTIF($D$2:D50,D50)</f>
        <v>TropicalDryForest Plantation1</v>
      </c>
      <c r="F50" s="8" t="str">
        <f>HLOOKUP('ESVD - SUMMARY TABLE'!B50,'ESVD - Land Use &amp; Climate Match'!$B$7:$V$8,2,FALSE)</f>
        <v>Plantations</v>
      </c>
      <c r="G50" s="8">
        <f>IFERROR(VLOOKUP(F50,'ESVD - Database'!$C$3:$E$112,3,FALSE),0)</f>
        <v>1127</v>
      </c>
    </row>
    <row r="51" spans="1:7" x14ac:dyDescent="0.25">
      <c r="A51" s="83"/>
      <c r="B51" s="8" t="s">
        <v>646</v>
      </c>
      <c r="C51" s="8" t="s">
        <v>329</v>
      </c>
      <c r="D51" s="8" t="str">
        <f t="shared" si="6"/>
        <v>Tropical MountainMoistForest Plantation</v>
      </c>
      <c r="E51" s="8" t="str">
        <f>D51&amp;COUNTIF($D$2:D51,D51)</f>
        <v>Tropical MountainMoistForest Plantation1</v>
      </c>
      <c r="F51" s="8" t="str">
        <f>HLOOKUP('ESVD - SUMMARY TABLE'!B51,'ESVD - Land Use &amp; Climate Match'!$B$7:$V$8,2,FALSE)</f>
        <v>Plantations</v>
      </c>
      <c r="G51" s="8">
        <f>IFERROR(VLOOKUP(F51,'ESVD - Database'!$C$3:$E$112,3,FALSE),0)</f>
        <v>1127</v>
      </c>
    </row>
    <row r="52" spans="1:7" x14ac:dyDescent="0.25">
      <c r="A52" s="83"/>
      <c r="B52" s="8" t="s">
        <v>647</v>
      </c>
      <c r="C52" s="8" t="s">
        <v>329</v>
      </c>
      <c r="D52" s="8" t="str">
        <f t="shared" si="6"/>
        <v>Tropical MountainDryForest Plantation</v>
      </c>
      <c r="E52" s="8" t="str">
        <f>D52&amp;COUNTIF($D$2:D52,D52)</f>
        <v>Tropical MountainDryForest Plantation1</v>
      </c>
      <c r="F52" s="8" t="str">
        <f>HLOOKUP('ESVD - SUMMARY TABLE'!B52,'ESVD - Land Use &amp; Climate Match'!$B$7:$V$8,2,FALSE)</f>
        <v>Plantations</v>
      </c>
      <c r="G52" s="8">
        <f>IFERROR(VLOOKUP(F52,'ESVD - Database'!$C$3:$E$112,3,FALSE),0)</f>
        <v>1127</v>
      </c>
    </row>
    <row r="53" spans="1:7" x14ac:dyDescent="0.25">
      <c r="A53" s="83"/>
      <c r="B53" s="8" t="s">
        <v>648</v>
      </c>
      <c r="C53" s="8" t="s">
        <v>329</v>
      </c>
      <c r="D53" s="8" t="str">
        <f t="shared" si="6"/>
        <v>Warm TemperateMoistForest Plantation</v>
      </c>
      <c r="E53" s="8" t="str">
        <f>D53&amp;COUNTIF($D$2:D53,D53)</f>
        <v>Warm TemperateMoistForest Plantation1</v>
      </c>
      <c r="F53" s="8" t="str">
        <f>HLOOKUP('ESVD - SUMMARY TABLE'!B53,'ESVD - Land Use &amp; Climate Match'!$B$7:$V$8,2,FALSE)</f>
        <v>Plantations</v>
      </c>
      <c r="G53" s="8">
        <f>IFERROR(VLOOKUP(F53,'ESVD - Database'!$C$3:$E$112,3,FALSE),0)</f>
        <v>1127</v>
      </c>
    </row>
    <row r="54" spans="1:7" x14ac:dyDescent="0.25">
      <c r="A54" s="83"/>
      <c r="B54" s="8" t="s">
        <v>649</v>
      </c>
      <c r="C54" s="8" t="s">
        <v>329</v>
      </c>
      <c r="D54" s="8" t="str">
        <f t="shared" si="6"/>
        <v>Warm TemperateDryForest Plantation</v>
      </c>
      <c r="E54" s="8" t="str">
        <f>D54&amp;COUNTIF($D$2:D54,D54)</f>
        <v>Warm TemperateDryForest Plantation1</v>
      </c>
      <c r="F54" s="8" t="str">
        <f>HLOOKUP('ESVD - SUMMARY TABLE'!B54,'ESVD - Land Use &amp; Climate Match'!$B$7:$V$8,2,FALSE)</f>
        <v>Plantations</v>
      </c>
      <c r="G54" s="8">
        <f>IFERROR(VLOOKUP(F54,'ESVD - Database'!$C$3:$E$112,3,FALSE),0)</f>
        <v>1127</v>
      </c>
    </row>
    <row r="55" spans="1:7" x14ac:dyDescent="0.25">
      <c r="A55" s="83"/>
      <c r="B55" s="11" t="s">
        <v>1024</v>
      </c>
      <c r="C55" s="8" t="s">
        <v>329</v>
      </c>
      <c r="D55" s="8" t="str">
        <f t="shared" ref="D55:D56" si="7">CONCATENATE(B55,C55)</f>
        <v>Warm Temperate MountainMoistForest Plantation</v>
      </c>
      <c r="E55" s="8" t="str">
        <f>D55&amp;COUNTIF($D$2:D55,D55)</f>
        <v>Warm Temperate MountainMoistForest Plantation1</v>
      </c>
      <c r="F55" s="8" t="str">
        <f>HLOOKUP('ESVD - SUMMARY TABLE'!B55,'ESVD - Land Use &amp; Climate Match'!$B$7:$V$8,2,FALSE)</f>
        <v>Plantations</v>
      </c>
      <c r="G55" s="8">
        <f>IFERROR(VLOOKUP(F55,'ESVD - Database'!$C$3:$E$112,3,FALSE),0)</f>
        <v>1127</v>
      </c>
    </row>
    <row r="56" spans="1:7" x14ac:dyDescent="0.25">
      <c r="A56" s="83"/>
      <c r="B56" s="11" t="s">
        <v>1025</v>
      </c>
      <c r="C56" s="8" t="s">
        <v>329</v>
      </c>
      <c r="D56" s="8" t="str">
        <f t="shared" si="7"/>
        <v>Warm Temperate MountainDryForest Plantation</v>
      </c>
      <c r="E56" s="8" t="str">
        <f>D56&amp;COUNTIF($D$2:D56,D56)</f>
        <v>Warm Temperate MountainDryForest Plantation1</v>
      </c>
      <c r="F56" s="8" t="str">
        <f>HLOOKUP('ESVD - SUMMARY TABLE'!B56,'ESVD - Land Use &amp; Climate Match'!$B$7:$V$8,2,FALSE)</f>
        <v>Plantations</v>
      </c>
      <c r="G56" s="8">
        <f>IFERROR(VLOOKUP(F56,'ESVD - Database'!$C$3:$E$112,3,FALSE),0)</f>
        <v>1127</v>
      </c>
    </row>
    <row r="57" spans="1:7" x14ac:dyDescent="0.25">
      <c r="A57" s="83"/>
      <c r="B57" s="8" t="s">
        <v>650</v>
      </c>
      <c r="C57" s="8" t="s">
        <v>329</v>
      </c>
      <c r="D57" s="8" t="str">
        <f t="shared" si="6"/>
        <v>Cool TemperateMoistForest Plantation</v>
      </c>
      <c r="E57" s="8" t="str">
        <f>D57&amp;COUNTIF($D$2:D57,D57)</f>
        <v>Cool TemperateMoistForest Plantation1</v>
      </c>
      <c r="F57" s="8" t="str">
        <f>HLOOKUP('ESVD - SUMMARY TABLE'!B57,'ESVD - Land Use &amp; Climate Match'!$B$7:$V$8,2,FALSE)</f>
        <v>Plantations</v>
      </c>
      <c r="G57" s="8">
        <f>IFERROR(VLOOKUP(F57,'ESVD - Database'!$C$3:$E$112,3,FALSE),0)</f>
        <v>1127</v>
      </c>
    </row>
    <row r="58" spans="1:7" x14ac:dyDescent="0.25">
      <c r="A58" s="83"/>
      <c r="B58" s="8" t="s">
        <v>651</v>
      </c>
      <c r="C58" s="8" t="s">
        <v>329</v>
      </c>
      <c r="D58" s="8" t="str">
        <f t="shared" si="6"/>
        <v>Cool TemperateDryForest Plantation</v>
      </c>
      <c r="E58" s="8" t="str">
        <f>D58&amp;COUNTIF($D$2:D58,D58)</f>
        <v>Cool TemperateDryForest Plantation1</v>
      </c>
      <c r="F58" s="8" t="str">
        <f>HLOOKUP('ESVD - SUMMARY TABLE'!B58,'ESVD - Land Use &amp; Climate Match'!$B$7:$V$8,2,FALSE)</f>
        <v>Plantations</v>
      </c>
      <c r="G58" s="8">
        <f>IFERROR(VLOOKUP(F58,'ESVD - Database'!$C$3:$E$112,3,FALSE),0)</f>
        <v>1127</v>
      </c>
    </row>
    <row r="59" spans="1:7" x14ac:dyDescent="0.25">
      <c r="A59" s="83"/>
      <c r="B59" s="11" t="s">
        <v>1026</v>
      </c>
      <c r="C59" s="8" t="s">
        <v>329</v>
      </c>
      <c r="D59" s="8" t="str">
        <f t="shared" ref="D59:D68" si="8">CONCATENATE(B59,C59)</f>
        <v>Cool Temperate MountainMoistForest Plantation</v>
      </c>
      <c r="E59" s="8" t="str">
        <f>D59&amp;COUNTIF($D$2:D59,D59)</f>
        <v>Cool Temperate MountainMoistForest Plantation1</v>
      </c>
      <c r="F59" s="8" t="str">
        <f>HLOOKUP('ESVD - SUMMARY TABLE'!B59,'ESVD - Land Use &amp; Climate Match'!$B$7:$V$8,2,FALSE)</f>
        <v>Plantations</v>
      </c>
      <c r="G59" s="8">
        <f>IFERROR(VLOOKUP(F59,'ESVD - Database'!$C$3:$E$112,3,FALSE),0)</f>
        <v>1127</v>
      </c>
    </row>
    <row r="60" spans="1:7" x14ac:dyDescent="0.25">
      <c r="A60" s="83"/>
      <c r="B60" s="11" t="s">
        <v>1027</v>
      </c>
      <c r="C60" s="8" t="s">
        <v>329</v>
      </c>
      <c r="D60" s="8" t="str">
        <f t="shared" si="8"/>
        <v>Cool Temperate MountainDryForest Plantation</v>
      </c>
      <c r="E60" s="8" t="str">
        <f>D60&amp;COUNTIF($D$2:D60,D60)</f>
        <v>Cool Temperate MountainDryForest Plantation1</v>
      </c>
      <c r="F60" s="8" t="str">
        <f>HLOOKUP('ESVD - SUMMARY TABLE'!B60,'ESVD - Land Use &amp; Climate Match'!$B$7:$V$8,2,FALSE)</f>
        <v>Plantations</v>
      </c>
      <c r="G60" s="8">
        <f>IFERROR(VLOOKUP(F60,'ESVD - Database'!$C$3:$E$112,3,FALSE),0)</f>
        <v>1127</v>
      </c>
    </row>
    <row r="61" spans="1:7" x14ac:dyDescent="0.25">
      <c r="A61" s="83"/>
      <c r="B61" s="8" t="s">
        <v>652</v>
      </c>
      <c r="C61" s="8" t="s">
        <v>329</v>
      </c>
      <c r="D61" s="8" t="str">
        <f t="shared" si="8"/>
        <v>BorealMoistForest Plantation</v>
      </c>
      <c r="E61" s="8" t="str">
        <f>D61&amp;COUNTIF($D$2:D61,D61)</f>
        <v>BorealMoistForest Plantation1</v>
      </c>
      <c r="F61" s="8" t="str">
        <f>HLOOKUP('ESVD - SUMMARY TABLE'!B61,'ESVD - Land Use &amp; Climate Match'!$B$7:$V$8,2,FALSE)</f>
        <v>Plantations</v>
      </c>
      <c r="G61" s="8">
        <f>IFERROR(VLOOKUP(F61,'ESVD - Database'!$C$3:$E$112,3,FALSE),0)</f>
        <v>1127</v>
      </c>
    </row>
    <row r="62" spans="1:7" x14ac:dyDescent="0.25">
      <c r="A62" s="83"/>
      <c r="B62" s="8" t="s">
        <v>653</v>
      </c>
      <c r="C62" s="8" t="s">
        <v>329</v>
      </c>
      <c r="D62" s="8" t="str">
        <f t="shared" si="8"/>
        <v>BorealDryForest Plantation</v>
      </c>
      <c r="E62" s="8" t="str">
        <f>D62&amp;COUNTIF($D$2:D62,D62)</f>
        <v>BorealDryForest Plantation1</v>
      </c>
      <c r="F62" s="8" t="str">
        <f>HLOOKUP('ESVD - SUMMARY TABLE'!B62,'ESVD - Land Use &amp; Climate Match'!$B$7:$V$8,2,FALSE)</f>
        <v>Plantations</v>
      </c>
      <c r="G62" s="8">
        <f>IFERROR(VLOOKUP(F62,'ESVD - Database'!$C$3:$E$112,3,FALSE),0)</f>
        <v>1127</v>
      </c>
    </row>
    <row r="63" spans="1:7" x14ac:dyDescent="0.25">
      <c r="A63" s="83"/>
      <c r="B63" s="11" t="s">
        <v>1028</v>
      </c>
      <c r="C63" s="8" t="s">
        <v>329</v>
      </c>
      <c r="D63" s="8" t="str">
        <f t="shared" si="8"/>
        <v>Boreal MountainMoistForest Plantation</v>
      </c>
      <c r="E63" s="8" t="str">
        <f>D63&amp;COUNTIF($D$2:D63,D63)</f>
        <v>Boreal MountainMoistForest Plantation1</v>
      </c>
      <c r="F63" s="8" t="str">
        <f>HLOOKUP('ESVD - SUMMARY TABLE'!B63,'ESVD - Land Use &amp; Climate Match'!$B$7:$V$8,2,FALSE)</f>
        <v>Plantations</v>
      </c>
      <c r="G63" s="8">
        <f>IFERROR(VLOOKUP(F63,'ESVD - Database'!$C$3:$E$112,3,FALSE),0)</f>
        <v>1127</v>
      </c>
    </row>
    <row r="64" spans="1:7" x14ac:dyDescent="0.25">
      <c r="A64" s="83"/>
      <c r="B64" s="11" t="s">
        <v>1029</v>
      </c>
      <c r="C64" s="8" t="s">
        <v>329</v>
      </c>
      <c r="D64" s="8" t="str">
        <f t="shared" si="8"/>
        <v>Boreal MountainDryForest Plantation</v>
      </c>
      <c r="E64" s="8" t="str">
        <f>D64&amp;COUNTIF($D$2:D64,D64)</f>
        <v>Boreal MountainDryForest Plantation1</v>
      </c>
      <c r="F64" s="8" t="str">
        <f>HLOOKUP('ESVD - SUMMARY TABLE'!B64,'ESVD - Land Use &amp; Climate Match'!$B$7:$V$8,2,FALSE)</f>
        <v>Plantations</v>
      </c>
      <c r="G64" s="8">
        <f>IFERROR(VLOOKUP(F64,'ESVD - Database'!$C$3:$E$112,3,FALSE),0)</f>
        <v>1127</v>
      </c>
    </row>
    <row r="65" spans="1:7" x14ac:dyDescent="0.25">
      <c r="A65" s="83"/>
      <c r="B65" s="11" t="s">
        <v>1023</v>
      </c>
      <c r="C65" s="8" t="s">
        <v>329</v>
      </c>
      <c r="D65" s="8" t="str">
        <f t="shared" si="8"/>
        <v>PolarMoistForest Plantation</v>
      </c>
      <c r="E65" s="8" t="str">
        <f>D65&amp;COUNTIF($D$2:D65,D65)</f>
        <v>PolarMoistForest Plantation1</v>
      </c>
      <c r="F65" s="8" t="str">
        <f>HLOOKUP('ESVD - SUMMARY TABLE'!B65,'ESVD - Land Use &amp; Climate Match'!$B$7:$V$8,2,FALSE)</f>
        <v>Plantations</v>
      </c>
      <c r="G65" s="8">
        <f>IFERROR(VLOOKUP(F65,'ESVD - Database'!$C$3:$E$112,3,FALSE),0)</f>
        <v>1127</v>
      </c>
    </row>
    <row r="66" spans="1:7" x14ac:dyDescent="0.25">
      <c r="A66" s="83"/>
      <c r="B66" s="11" t="s">
        <v>1022</v>
      </c>
      <c r="C66" s="8" t="s">
        <v>329</v>
      </c>
      <c r="D66" s="8" t="str">
        <f t="shared" si="8"/>
        <v>PolarDryForest Plantation</v>
      </c>
      <c r="E66" s="8" t="str">
        <f>D66&amp;COUNTIF($D$2:D66,D66)</f>
        <v>PolarDryForest Plantation1</v>
      </c>
      <c r="F66" s="8" t="str">
        <f>HLOOKUP('ESVD - SUMMARY TABLE'!B66,'ESVD - Land Use &amp; Climate Match'!$B$7:$V$8,2,FALSE)</f>
        <v>Plantations</v>
      </c>
      <c r="G66" s="8">
        <f>IFERROR(VLOOKUP(F66,'ESVD - Database'!$C$3:$E$112,3,FALSE),0)</f>
        <v>1127</v>
      </c>
    </row>
    <row r="67" spans="1:7" x14ac:dyDescent="0.25">
      <c r="A67" s="83"/>
      <c r="B67" s="11" t="s">
        <v>1030</v>
      </c>
      <c r="C67" s="8" t="s">
        <v>329</v>
      </c>
      <c r="D67" s="8" t="str">
        <f t="shared" si="8"/>
        <v>Polar MountainMoistForest Plantation</v>
      </c>
      <c r="E67" s="8" t="str">
        <f>D67&amp;COUNTIF($D$2:D67,D67)</f>
        <v>Polar MountainMoistForest Plantation1</v>
      </c>
      <c r="F67" s="8" t="str">
        <f>HLOOKUP('ESVD - SUMMARY TABLE'!B67,'ESVD - Land Use &amp; Climate Match'!$B$7:$V$8,2,FALSE)</f>
        <v>Plantations</v>
      </c>
      <c r="G67" s="8">
        <f>IFERROR(VLOOKUP(F67,'ESVD - Database'!$C$3:$E$112,3,FALSE),0)</f>
        <v>1127</v>
      </c>
    </row>
    <row r="68" spans="1:7" x14ac:dyDescent="0.25">
      <c r="A68" s="83"/>
      <c r="B68" s="11" t="s">
        <v>1031</v>
      </c>
      <c r="C68" s="8" t="s">
        <v>329</v>
      </c>
      <c r="D68" s="8" t="str">
        <f t="shared" si="8"/>
        <v>Polar MountainDryForest Plantation</v>
      </c>
      <c r="E68" s="8" t="str">
        <f>D68&amp;COUNTIF($D$2:D68,D68)</f>
        <v>Polar MountainDryForest Plantation1</v>
      </c>
      <c r="F68" s="8" t="str">
        <f>HLOOKUP('ESVD - SUMMARY TABLE'!B68,'ESVD - Land Use &amp; Climate Match'!$B$7:$V$8,2,FALSE)</f>
        <v>Plantations</v>
      </c>
      <c r="G68" s="8">
        <f>IFERROR(VLOOKUP(F68,'ESVD - Database'!$C$3:$E$112,3,FALSE),0)</f>
        <v>1127</v>
      </c>
    </row>
    <row r="69" spans="1:7" x14ac:dyDescent="0.25">
      <c r="A69" s="84"/>
      <c r="B69" s="8" t="s">
        <v>643</v>
      </c>
      <c r="C69" s="8" t="s">
        <v>236</v>
      </c>
      <c r="D69" s="8" t="str">
        <f t="shared" ref="D69:D118" si="9">CONCATENATE(B69,C69)</f>
        <v>TropicalWetGrassland (Non-degraded)</v>
      </c>
      <c r="E69" s="8" t="str">
        <f>D69&amp;COUNTIF($D$2:D69,D69)</f>
        <v>TropicalWetGrassland (Non-degraded)1</v>
      </c>
      <c r="F69" s="8" t="str">
        <f>HLOOKUP(B69,'ESVD - Land Use &amp; Climate Match'!$B$11:$V$15,2,FALSE)</f>
        <v>Tropical grasslands</v>
      </c>
      <c r="G69" s="8">
        <f>IFERROR(VLOOKUP(F69,'ESVD - Database'!$C$3:$E$112,3,FALSE),0)</f>
        <v>1127</v>
      </c>
    </row>
    <row r="70" spans="1:7" x14ac:dyDescent="0.25">
      <c r="A70" s="84"/>
      <c r="B70" s="8" t="s">
        <v>644</v>
      </c>
      <c r="C70" s="8" t="s">
        <v>236</v>
      </c>
      <c r="D70" s="8" t="str">
        <f t="shared" si="9"/>
        <v>TropicalMoistGrassland (Non-degraded)</v>
      </c>
      <c r="E70" s="8" t="str">
        <f>D70&amp;COUNTIF($D$2:D70,D70)</f>
        <v>TropicalMoistGrassland (Non-degraded)1</v>
      </c>
      <c r="F70" s="8" t="str">
        <f>HLOOKUP(B70,'ESVD - Land Use &amp; Climate Match'!$B$11:$V$15,2,FALSE)</f>
        <v>Tropical grasslands</v>
      </c>
      <c r="G70" s="8">
        <f>IFERROR(VLOOKUP(F70,'ESVD - Database'!$C$3:$E$112,3,FALSE),0)</f>
        <v>1127</v>
      </c>
    </row>
    <row r="71" spans="1:7" x14ac:dyDescent="0.25">
      <c r="A71" s="84"/>
      <c r="B71" s="8" t="s">
        <v>645</v>
      </c>
      <c r="C71" s="8" t="s">
        <v>236</v>
      </c>
      <c r="D71" s="8" t="str">
        <f t="shared" si="9"/>
        <v>TropicalDryGrassland (Non-degraded)</v>
      </c>
      <c r="E71" s="8" t="str">
        <f>D71&amp;COUNTIF($D$2:D71,D71)</f>
        <v>TropicalDryGrassland (Non-degraded)1</v>
      </c>
      <c r="F71" s="8" t="str">
        <f>HLOOKUP(B71,'ESVD - Land Use &amp; Climate Match'!$B$11:$V$15,2,FALSE)</f>
        <v>Tropical grasslands</v>
      </c>
      <c r="G71" s="8">
        <f>IFERROR(VLOOKUP(F71,'ESVD - Database'!$C$3:$E$112,3,FALSE),0)</f>
        <v>1127</v>
      </c>
    </row>
    <row r="72" spans="1:7" x14ac:dyDescent="0.25">
      <c r="A72" s="84"/>
      <c r="B72" s="8" t="s">
        <v>645</v>
      </c>
      <c r="C72" s="8" t="s">
        <v>236</v>
      </c>
      <c r="D72" s="8" t="str">
        <f t="shared" si="9"/>
        <v>TropicalDryGrassland (Non-degraded)</v>
      </c>
      <c r="E72" s="8" t="str">
        <f>D72&amp;COUNTIF($D$2:D72,D72)</f>
        <v>TropicalDryGrassland (Non-degraded)2</v>
      </c>
      <c r="F72" s="8" t="str">
        <f>HLOOKUP(B72,'ESVD - Land Use &amp; Climate Match'!$B$11:$V$15,3,FALSE)</f>
        <v>Savanna</v>
      </c>
      <c r="G72" s="8">
        <f>IFERROR(VLOOKUP(F72,'ESVD - Database'!$C$3:$E$112,3,FALSE),0)</f>
        <v>1127</v>
      </c>
    </row>
    <row r="73" spans="1:7" x14ac:dyDescent="0.25">
      <c r="A73" s="84"/>
      <c r="B73" s="8" t="s">
        <v>646</v>
      </c>
      <c r="C73" s="8" t="s">
        <v>236</v>
      </c>
      <c r="D73" s="8" t="str">
        <f t="shared" si="9"/>
        <v>Tropical MountainMoistGrassland (Non-degraded)</v>
      </c>
      <c r="E73" s="8" t="str">
        <f>D73&amp;COUNTIF($D$2:D73,D73)</f>
        <v>Tropical MountainMoistGrassland (Non-degraded)1</v>
      </c>
      <c r="F73" s="8" t="str">
        <f>HLOOKUP(B73,'ESVD - Land Use &amp; Climate Match'!$B$11:$V$15,2,FALSE)</f>
        <v>High Mountain - grassland</v>
      </c>
      <c r="G73" s="8">
        <f>IFERROR(VLOOKUP(F73,'ESVD - Database'!$C$3:$E$112,3,FALSE),0)</f>
        <v>1127</v>
      </c>
    </row>
    <row r="74" spans="1:7" x14ac:dyDescent="0.25">
      <c r="A74" s="84"/>
      <c r="B74" s="8" t="s">
        <v>647</v>
      </c>
      <c r="C74" s="8" t="s">
        <v>236</v>
      </c>
      <c r="D74" s="8" t="str">
        <f t="shared" si="9"/>
        <v>Tropical MountainDryGrassland (Non-degraded)</v>
      </c>
      <c r="E74" s="8" t="str">
        <f>D74&amp;COUNTIF($D$2:D74,D74)</f>
        <v>Tropical MountainDryGrassland (Non-degraded)1</v>
      </c>
      <c r="F74" s="8" t="str">
        <f>HLOOKUP(B74,'ESVD - Land Use &amp; Climate Match'!$B$11:$V$15,2,FALSE)</f>
        <v>High Mountain - grassland</v>
      </c>
      <c r="G74" s="8">
        <f>IFERROR(VLOOKUP(F74,'ESVD - Database'!$C$3:$E$112,3,FALSE),0)</f>
        <v>1127</v>
      </c>
    </row>
    <row r="75" spans="1:7" x14ac:dyDescent="0.25">
      <c r="A75" s="84"/>
      <c r="B75" s="8" t="s">
        <v>647</v>
      </c>
      <c r="C75" s="8" t="s">
        <v>236</v>
      </c>
      <c r="D75" s="8" t="str">
        <f t="shared" si="9"/>
        <v>Tropical MountainDryGrassland (Non-degraded)</v>
      </c>
      <c r="E75" s="8" t="str">
        <f>D75&amp;COUNTIF($D$2:D75,D75)</f>
        <v>Tropical MountainDryGrassland (Non-degraded)2</v>
      </c>
      <c r="F75" s="8" t="str">
        <f>HLOOKUP(B75,'ESVD - Land Use &amp; Climate Match'!$B$11:$V$15,3,FALSE)</f>
        <v>Savanna</v>
      </c>
      <c r="G75" s="8">
        <f>IFERROR(VLOOKUP(F75,'ESVD - Database'!$C$3:$E$112,3,FALSE),0)</f>
        <v>1127</v>
      </c>
    </row>
    <row r="76" spans="1:7" x14ac:dyDescent="0.25">
      <c r="A76" s="84"/>
      <c r="B76" s="8" t="s">
        <v>648</v>
      </c>
      <c r="C76" s="8" t="s">
        <v>236</v>
      </c>
      <c r="D76" s="8" t="str">
        <f t="shared" si="9"/>
        <v>Warm TemperateMoistGrassland (Non-degraded)</v>
      </c>
      <c r="E76" s="8" t="str">
        <f>D76&amp;COUNTIF($D$2:D76,D76)</f>
        <v>Warm TemperateMoistGrassland (Non-degraded)1</v>
      </c>
      <c r="F76" s="8" t="str">
        <f>HLOOKUP(B76,'ESVD - Land Use &amp; Climate Match'!$B$11:$V$15,2,FALSE)</f>
        <v>Temperate grasslands</v>
      </c>
      <c r="G76" s="8">
        <f>IFERROR(VLOOKUP(F76,'ESVD - Database'!$C$3:$E$112,3,FALSE),0)</f>
        <v>1127</v>
      </c>
    </row>
    <row r="77" spans="1:7" x14ac:dyDescent="0.25">
      <c r="A77" s="84"/>
      <c r="B77" s="8" t="s">
        <v>649</v>
      </c>
      <c r="C77" s="8" t="s">
        <v>236</v>
      </c>
      <c r="D77" s="8" t="str">
        <f t="shared" si="9"/>
        <v>Warm TemperateDryGrassland (Non-degraded)</v>
      </c>
      <c r="E77" s="8" t="str">
        <f>D77&amp;COUNTIF($D$2:D77,D77)</f>
        <v>Warm TemperateDryGrassland (Non-degraded)1</v>
      </c>
      <c r="F77" s="8" t="str">
        <f>HLOOKUP(B77,'ESVD - Land Use &amp; Climate Match'!$B$11:$V$15,2,FALSE)</f>
        <v>Temperate grasslands</v>
      </c>
      <c r="G77" s="8">
        <f>IFERROR(VLOOKUP(F77,'ESVD - Database'!$C$3:$E$112,3,FALSE),0)</f>
        <v>1127</v>
      </c>
    </row>
    <row r="78" spans="1:7" x14ac:dyDescent="0.25">
      <c r="A78" s="84"/>
      <c r="B78" s="8" t="s">
        <v>649</v>
      </c>
      <c r="C78" s="8" t="s">
        <v>236</v>
      </c>
      <c r="D78" s="8" t="str">
        <f t="shared" si="9"/>
        <v>Warm TemperateDryGrassland (Non-degraded)</v>
      </c>
      <c r="E78" s="8" t="str">
        <f>D78&amp;COUNTIF($D$2:D78,D78)</f>
        <v>Warm TemperateDryGrassland (Non-degraded)2</v>
      </c>
      <c r="F78" s="8" t="str">
        <f>HLOOKUP(B78,'ESVD - Land Use &amp; Climate Match'!$B$11:$V$15,3,FALSE)</f>
        <v>Savanna</v>
      </c>
      <c r="G78" s="8">
        <f>IFERROR(VLOOKUP(F78,'ESVD - Database'!$C$3:$E$112,3,FALSE),0)</f>
        <v>1127</v>
      </c>
    </row>
    <row r="79" spans="1:7" x14ac:dyDescent="0.25">
      <c r="A79" s="84"/>
      <c r="B79" s="11" t="s">
        <v>1024</v>
      </c>
      <c r="C79" s="8" t="s">
        <v>236</v>
      </c>
      <c r="D79" s="8" t="str">
        <f t="shared" ref="D79:D81" si="10">CONCATENATE(B79,C79)</f>
        <v>Warm Temperate MountainMoistGrassland (Non-degraded)</v>
      </c>
      <c r="E79" s="8" t="str">
        <f>D79&amp;COUNTIF($D$2:D79,D79)</f>
        <v>Warm Temperate MountainMoistGrassland (Non-degraded)1</v>
      </c>
      <c r="F79" s="8" t="str">
        <f>HLOOKUP(B79,'ESVD - Land Use &amp; Climate Match'!$B$11:$V$15,2,FALSE)</f>
        <v>Temperate grasslands</v>
      </c>
      <c r="G79" s="8">
        <f>IFERROR(VLOOKUP(F79,'ESVD - Database'!$C$3:$E$112,3,FALSE),0)</f>
        <v>1127</v>
      </c>
    </row>
    <row r="80" spans="1:7" x14ac:dyDescent="0.25">
      <c r="A80" s="84"/>
      <c r="B80" s="11" t="s">
        <v>1025</v>
      </c>
      <c r="C80" s="8" t="s">
        <v>236</v>
      </c>
      <c r="D80" s="8" t="str">
        <f t="shared" si="10"/>
        <v>Warm Temperate MountainDryGrassland (Non-degraded)</v>
      </c>
      <c r="E80" s="8" t="str">
        <f>D80&amp;COUNTIF($D$2:D80,D80)</f>
        <v>Warm Temperate MountainDryGrassland (Non-degraded)1</v>
      </c>
      <c r="F80" s="8" t="str">
        <f>HLOOKUP(B80,'ESVD - Land Use &amp; Climate Match'!$B$11:$V$15,3,FALSE)</f>
        <v>Savanna</v>
      </c>
      <c r="G80" s="8">
        <f>IFERROR(VLOOKUP(F80,'ESVD - Database'!$C$3:$E$112,3,FALSE),0)</f>
        <v>1127</v>
      </c>
    </row>
    <row r="81" spans="1:7" x14ac:dyDescent="0.25">
      <c r="A81" s="84"/>
      <c r="B81" s="11" t="s">
        <v>1025</v>
      </c>
      <c r="C81" s="8" t="s">
        <v>236</v>
      </c>
      <c r="D81" s="8" t="str">
        <f t="shared" si="10"/>
        <v>Warm Temperate MountainDryGrassland (Non-degraded)</v>
      </c>
      <c r="E81" s="8" t="str">
        <f>D81&amp;COUNTIF($D$2:D81,D81)</f>
        <v>Warm Temperate MountainDryGrassland (Non-degraded)2</v>
      </c>
      <c r="F81" s="8" t="str">
        <f>HLOOKUP(B81,'ESVD - Land Use &amp; Climate Match'!$B$11:$V$15,3,FALSE)</f>
        <v>Savanna</v>
      </c>
      <c r="G81" s="8">
        <f>IFERROR(VLOOKUP(F81,'ESVD - Database'!$C$3:$E$112,3,FALSE),0)</f>
        <v>1127</v>
      </c>
    </row>
    <row r="82" spans="1:7" x14ac:dyDescent="0.25">
      <c r="A82" s="84"/>
      <c r="B82" s="8" t="s">
        <v>650</v>
      </c>
      <c r="C82" s="8" t="s">
        <v>236</v>
      </c>
      <c r="D82" s="8" t="str">
        <f t="shared" si="9"/>
        <v>Cool TemperateMoistGrassland (Non-degraded)</v>
      </c>
      <c r="E82" s="8" t="str">
        <f>D82&amp;COUNTIF($D$2:D82,D82)</f>
        <v>Cool TemperateMoistGrassland (Non-degraded)1</v>
      </c>
      <c r="F82" s="8" t="str">
        <f>HLOOKUP(B82,'ESVD - Land Use &amp; Climate Match'!$B$11:$V$15,2,FALSE)</f>
        <v>Temperate grasslands</v>
      </c>
      <c r="G82" s="8">
        <f>IFERROR(VLOOKUP(F82,'ESVD - Database'!$C$3:$E$112,3,FALSE),0)</f>
        <v>1127</v>
      </c>
    </row>
    <row r="83" spans="1:7" x14ac:dyDescent="0.25">
      <c r="A83" s="84"/>
      <c r="B83" s="8" t="s">
        <v>651</v>
      </c>
      <c r="C83" s="8" t="s">
        <v>236</v>
      </c>
      <c r="D83" s="8" t="str">
        <f t="shared" si="9"/>
        <v>Cool TemperateDryGrassland (Non-degraded)</v>
      </c>
      <c r="E83" s="8" t="str">
        <f>D83&amp;COUNTIF($D$2:D83,D83)</f>
        <v>Cool TemperateDryGrassland (Non-degraded)1</v>
      </c>
      <c r="F83" s="8" t="str">
        <f>HLOOKUP(B83,'ESVD - Land Use &amp; Climate Match'!$B$11:$V$15,2,FALSE)</f>
        <v>Temperate grasslands</v>
      </c>
      <c r="G83" s="8">
        <f>IFERROR(VLOOKUP(F83,'ESVD - Database'!$C$3:$E$112,3,FALSE),0)</f>
        <v>1127</v>
      </c>
    </row>
    <row r="84" spans="1:7" x14ac:dyDescent="0.25">
      <c r="A84" s="84"/>
      <c r="B84" s="8" t="s">
        <v>651</v>
      </c>
      <c r="C84" s="8" t="s">
        <v>236</v>
      </c>
      <c r="D84" s="8" t="str">
        <f t="shared" si="9"/>
        <v>Cool TemperateDryGrassland (Non-degraded)</v>
      </c>
      <c r="E84" s="8" t="str">
        <f>D84&amp;COUNTIF($D$2:D84,D84)</f>
        <v>Cool TemperateDryGrassland (Non-degraded)2</v>
      </c>
      <c r="F84" s="8" t="str">
        <f>HLOOKUP(B84,'ESVD - Land Use &amp; Climate Match'!$B$11:$V$15,3,FALSE)</f>
        <v>Steppe (dry, cold grassland)</v>
      </c>
      <c r="G84" s="8">
        <f>IFERROR(VLOOKUP(F84,'ESVD - Database'!$C$3:$E$112,3,FALSE),0)</f>
        <v>1127</v>
      </c>
    </row>
    <row r="85" spans="1:7" x14ac:dyDescent="0.25">
      <c r="A85" s="84"/>
      <c r="B85" s="8" t="s">
        <v>651</v>
      </c>
      <c r="C85" s="8" t="s">
        <v>236</v>
      </c>
      <c r="D85" s="8" t="str">
        <f t="shared" si="9"/>
        <v>Cool TemperateDryGrassland (Non-degraded)</v>
      </c>
      <c r="E85" s="8" t="str">
        <f>D85&amp;COUNTIF($D$2:D85,D85)</f>
        <v>Cool TemperateDryGrassland (Non-degraded)3</v>
      </c>
      <c r="F85" s="8" t="str">
        <f>HLOOKUP(B85,'ESVD - Land Use &amp; Climate Match'!$B$11:$V$15,4,FALSE)</f>
        <v>Savanna</v>
      </c>
      <c r="G85" s="8">
        <f>IFERROR(VLOOKUP(F85,'ESVD - Database'!$C$3:$E$112,3,FALSE),0)</f>
        <v>1127</v>
      </c>
    </row>
    <row r="86" spans="1:7" x14ac:dyDescent="0.25">
      <c r="A86" s="84"/>
      <c r="B86" s="11" t="s">
        <v>1026</v>
      </c>
      <c r="C86" s="8" t="s">
        <v>236</v>
      </c>
      <c r="D86" s="8" t="str">
        <f t="shared" ref="D86:D89" si="11">CONCATENATE(B86,C86)</f>
        <v>Cool Temperate MountainMoistGrassland (Non-degraded)</v>
      </c>
      <c r="E86" s="8" t="str">
        <f>D86&amp;COUNTIF($D$2:D86,D86)</f>
        <v>Cool Temperate MountainMoistGrassland (Non-degraded)1</v>
      </c>
      <c r="F86" s="8" t="str">
        <f>HLOOKUP(B86,'ESVD - Land Use &amp; Climate Match'!$B$11:$V$15,2,FALSE)</f>
        <v>Temperate grasslands</v>
      </c>
      <c r="G86" s="8">
        <f>IFERROR(VLOOKUP(F86,'ESVD - Database'!$C$3:$E$112,3,FALSE),0)</f>
        <v>1127</v>
      </c>
    </row>
    <row r="87" spans="1:7" x14ac:dyDescent="0.25">
      <c r="A87" s="84"/>
      <c r="B87" s="11" t="s">
        <v>1027</v>
      </c>
      <c r="C87" s="8" t="s">
        <v>236</v>
      </c>
      <c r="D87" s="8" t="str">
        <f t="shared" si="11"/>
        <v>Cool Temperate MountainDryGrassland (Non-degraded)</v>
      </c>
      <c r="E87" s="8" t="str">
        <f>D87&amp;COUNTIF($D$2:D87,D87)</f>
        <v>Cool Temperate MountainDryGrassland (Non-degraded)1</v>
      </c>
      <c r="F87" s="8" t="str">
        <f>HLOOKUP(B87,'ESVD - Land Use &amp; Climate Match'!$B$11:$V$15,2,FALSE)</f>
        <v>Temperate grasslands</v>
      </c>
      <c r="G87" s="8">
        <f>IFERROR(VLOOKUP(F87,'ESVD - Database'!$C$3:$E$112,3,FALSE),0)</f>
        <v>1127</v>
      </c>
    </row>
    <row r="88" spans="1:7" x14ac:dyDescent="0.25">
      <c r="A88" s="84"/>
      <c r="B88" s="11" t="s">
        <v>1027</v>
      </c>
      <c r="C88" s="8" t="s">
        <v>236</v>
      </c>
      <c r="D88" s="8" t="str">
        <f t="shared" si="11"/>
        <v>Cool Temperate MountainDryGrassland (Non-degraded)</v>
      </c>
      <c r="E88" s="8" t="str">
        <f>D88&amp;COUNTIF($D$2:D88,D88)</f>
        <v>Cool Temperate MountainDryGrassland (Non-degraded)2</v>
      </c>
      <c r="F88" s="8" t="str">
        <f>HLOOKUP(B88,'ESVD - Land Use &amp; Climate Match'!$B$11:$V$15,3,FALSE)</f>
        <v>Steppe (dry, cold grassland)</v>
      </c>
      <c r="G88" s="8">
        <f>IFERROR(VLOOKUP(F88,'ESVD - Database'!$C$3:$E$112,3,FALSE),0)</f>
        <v>1127</v>
      </c>
    </row>
    <row r="89" spans="1:7" x14ac:dyDescent="0.25">
      <c r="A89" s="84"/>
      <c r="B89" s="11" t="s">
        <v>1027</v>
      </c>
      <c r="C89" s="8" t="s">
        <v>236</v>
      </c>
      <c r="D89" s="8" t="str">
        <f t="shared" si="11"/>
        <v>Cool Temperate MountainDryGrassland (Non-degraded)</v>
      </c>
      <c r="E89" s="8" t="str">
        <f>D89&amp;COUNTIF($D$2:D89,D89)</f>
        <v>Cool Temperate MountainDryGrassland (Non-degraded)3</v>
      </c>
      <c r="F89" s="8" t="str">
        <f>HLOOKUP(B89,'ESVD - Land Use &amp; Climate Match'!$B$11:$V$15,4,FALSE)</f>
        <v>Savanna</v>
      </c>
      <c r="G89" s="8">
        <f>IFERROR(VLOOKUP(F89,'ESVD - Database'!$C$3:$E$112,3,FALSE),0)</f>
        <v>1127</v>
      </c>
    </row>
    <row r="90" spans="1:7" x14ac:dyDescent="0.25">
      <c r="A90" s="84"/>
      <c r="B90" s="8" t="s">
        <v>652</v>
      </c>
      <c r="C90" s="8" t="s">
        <v>236</v>
      </c>
      <c r="D90" s="8" t="str">
        <f t="shared" si="9"/>
        <v>BorealMoistGrassland (Non-degraded)</v>
      </c>
      <c r="E90" s="8" t="str">
        <f>D90&amp;COUNTIF($D$2:D90,D90)</f>
        <v>BorealMoistGrassland (Non-degraded)1</v>
      </c>
      <c r="F90" s="8" t="str">
        <f>HLOOKUP(B90,'ESVD - Land Use &amp; Climate Match'!$B$11:$V$15,2,FALSE)</f>
        <v>Alpine Tundra</v>
      </c>
      <c r="G90" s="8">
        <f>IFERROR(VLOOKUP(F90,'ESVD - Database'!$C$3:$E$112,3,FALSE),0)</f>
        <v>1127</v>
      </c>
    </row>
    <row r="91" spans="1:7" x14ac:dyDescent="0.25">
      <c r="A91" s="84"/>
      <c r="B91" s="8" t="s">
        <v>652</v>
      </c>
      <c r="C91" s="8" t="s">
        <v>236</v>
      </c>
      <c r="D91" s="8" t="str">
        <f t="shared" si="9"/>
        <v>BorealMoistGrassland (Non-degraded)</v>
      </c>
      <c r="E91" s="8" t="str">
        <f>D91&amp;COUNTIF($D$2:D91,D91)</f>
        <v>BorealMoistGrassland (Non-degraded)2</v>
      </c>
      <c r="F91" s="8" t="str">
        <f>HLOOKUP(B91,'ESVD - Land Use &amp; Climate Match'!$B$11:$V$15,3,FALSE)</f>
        <v>Arctic Tundra</v>
      </c>
      <c r="G91" s="8">
        <f>IFERROR(VLOOKUP(F91,'ESVD - Database'!$C$3:$E$112,3,FALSE),0)</f>
        <v>1127</v>
      </c>
    </row>
    <row r="92" spans="1:7" x14ac:dyDescent="0.25">
      <c r="A92" s="84"/>
      <c r="B92" s="8" t="s">
        <v>652</v>
      </c>
      <c r="C92" s="8" t="s">
        <v>236</v>
      </c>
      <c r="D92" s="8" t="str">
        <f t="shared" si="9"/>
        <v>BorealMoistGrassland (Non-degraded)</v>
      </c>
      <c r="E92" s="8" t="str">
        <f>D92&amp;COUNTIF($D$2:D92,D92)</f>
        <v>BorealMoistGrassland (Non-degraded)3</v>
      </c>
      <c r="F92" s="8" t="str">
        <f>HLOOKUP(B92,'ESVD - Land Use &amp; Climate Match'!$B$11:$V$15,4,FALSE)</f>
        <v>High Mountain - grassland</v>
      </c>
      <c r="G92" s="8">
        <f>IFERROR(VLOOKUP(F92,'ESVD - Database'!$C$3:$E$112,3,FALSE),0)</f>
        <v>1127</v>
      </c>
    </row>
    <row r="93" spans="1:7" x14ac:dyDescent="0.25">
      <c r="A93" s="84"/>
      <c r="B93" s="8" t="s">
        <v>653</v>
      </c>
      <c r="C93" s="8" t="s">
        <v>236</v>
      </c>
      <c r="D93" s="8" t="str">
        <f t="shared" si="9"/>
        <v>BorealDryGrassland (Non-degraded)</v>
      </c>
      <c r="E93" s="8" t="str">
        <f>D93&amp;COUNTIF($D$2:D93,D93)</f>
        <v>BorealDryGrassland (Non-degraded)1</v>
      </c>
      <c r="F93" s="8" t="str">
        <f>HLOOKUP(B93,'ESVD - Land Use &amp; Climate Match'!$B$11:$V$15,2,FALSE)</f>
        <v>Alpine Tundra</v>
      </c>
      <c r="G93" s="8">
        <f>IFERROR(VLOOKUP(F93,'ESVD - Database'!$C$3:$E$112,3,FALSE),0)</f>
        <v>1127</v>
      </c>
    </row>
    <row r="94" spans="1:7" x14ac:dyDescent="0.25">
      <c r="A94" s="84"/>
      <c r="B94" s="8" t="s">
        <v>653</v>
      </c>
      <c r="C94" s="8" t="s">
        <v>236</v>
      </c>
      <c r="D94" s="8" t="str">
        <f t="shared" si="9"/>
        <v>BorealDryGrassland (Non-degraded)</v>
      </c>
      <c r="E94" s="8" t="str">
        <f>D94&amp;COUNTIF($D$2:D94,D94)</f>
        <v>BorealDryGrassland (Non-degraded)2</v>
      </c>
      <c r="F94" s="8" t="str">
        <f>HLOOKUP(B94,'ESVD - Land Use &amp; Climate Match'!$B$11:$V$15,3,FALSE)</f>
        <v>Arctic Tundra</v>
      </c>
      <c r="G94" s="8">
        <f>IFERROR(VLOOKUP(F94,'ESVD - Database'!$C$3:$E$112,3,FALSE),0)</f>
        <v>1127</v>
      </c>
    </row>
    <row r="95" spans="1:7" x14ac:dyDescent="0.25">
      <c r="A95" s="84"/>
      <c r="B95" s="8" t="s">
        <v>653</v>
      </c>
      <c r="C95" s="8" t="s">
        <v>236</v>
      </c>
      <c r="D95" s="8" t="str">
        <f t="shared" si="9"/>
        <v>BorealDryGrassland (Non-degraded)</v>
      </c>
      <c r="E95" s="8" t="str">
        <f>D95&amp;COUNTIF($D$2:D95,D95)</f>
        <v>BorealDryGrassland (Non-degraded)3</v>
      </c>
      <c r="F95" s="8" t="str">
        <f>HLOOKUP(B95,'ESVD - Land Use &amp; Climate Match'!$B$11:$V$15,4,FALSE)</f>
        <v>High Mountain - grassland</v>
      </c>
      <c r="G95" s="8">
        <f>IFERROR(VLOOKUP(F95,'ESVD - Database'!$C$3:$E$112,3,FALSE),0)</f>
        <v>1127</v>
      </c>
    </row>
    <row r="96" spans="1:7" x14ac:dyDescent="0.25">
      <c r="A96" s="84"/>
      <c r="B96" s="8" t="s">
        <v>653</v>
      </c>
      <c r="C96" s="8" t="s">
        <v>236</v>
      </c>
      <c r="D96" s="8" t="str">
        <f t="shared" si="9"/>
        <v>BorealDryGrassland (Non-degraded)</v>
      </c>
      <c r="E96" s="8" t="str">
        <f>D96&amp;COUNTIF($D$2:D96,D96)</f>
        <v>BorealDryGrassland (Non-degraded)4</v>
      </c>
      <c r="F96" s="8" t="str">
        <f>HLOOKUP(B96,'ESVD - Land Use &amp; Climate Match'!$B$11:$V$15,5,FALSE)</f>
        <v>Savanna</v>
      </c>
      <c r="G96" s="8">
        <f>IFERROR(VLOOKUP(F96,'ESVD - Database'!$C$3:$E$112,3,FALSE),0)</f>
        <v>1127</v>
      </c>
    </row>
    <row r="97" spans="1:7" x14ac:dyDescent="0.25">
      <c r="A97" s="84"/>
      <c r="B97" s="11" t="s">
        <v>1028</v>
      </c>
      <c r="C97" s="8" t="s">
        <v>236</v>
      </c>
      <c r="D97" s="8" t="str">
        <f t="shared" ref="D97:D103" si="12">CONCATENATE(B97,C97)</f>
        <v>Boreal MountainMoistGrassland (Non-degraded)</v>
      </c>
      <c r="E97" s="8" t="str">
        <f>D97&amp;COUNTIF($D$2:D97,D97)</f>
        <v>Boreal MountainMoistGrassland (Non-degraded)1</v>
      </c>
      <c r="F97" s="8" t="str">
        <f>HLOOKUP(B97,'ESVD - Land Use &amp; Climate Match'!$B$11:$V$15,2,FALSE)</f>
        <v>Alpine Tundra</v>
      </c>
      <c r="G97" s="8">
        <f>IFERROR(VLOOKUP(F97,'ESVD - Database'!$C$3:$E$112,3,FALSE),0)</f>
        <v>1127</v>
      </c>
    </row>
    <row r="98" spans="1:7" x14ac:dyDescent="0.25">
      <c r="A98" s="84"/>
      <c r="B98" s="11" t="s">
        <v>1028</v>
      </c>
      <c r="C98" s="8" t="s">
        <v>236</v>
      </c>
      <c r="D98" s="8" t="str">
        <f t="shared" si="12"/>
        <v>Boreal MountainMoistGrassland (Non-degraded)</v>
      </c>
      <c r="E98" s="8" t="str">
        <f>D98&amp;COUNTIF($D$2:D98,D98)</f>
        <v>Boreal MountainMoistGrassland (Non-degraded)2</v>
      </c>
      <c r="F98" s="8" t="str">
        <f>HLOOKUP(B98,'ESVD - Land Use &amp; Climate Match'!$B$11:$V$15,3,FALSE)</f>
        <v>Arctic Tundra</v>
      </c>
      <c r="G98" s="8">
        <f>IFERROR(VLOOKUP(F98,'ESVD - Database'!$C$3:$E$112,3,FALSE),0)</f>
        <v>1127</v>
      </c>
    </row>
    <row r="99" spans="1:7" x14ac:dyDescent="0.25">
      <c r="A99" s="84"/>
      <c r="B99" s="11" t="s">
        <v>1028</v>
      </c>
      <c r="C99" s="8" t="s">
        <v>236</v>
      </c>
      <c r="D99" s="8" t="str">
        <f t="shared" si="12"/>
        <v>Boreal MountainMoistGrassland (Non-degraded)</v>
      </c>
      <c r="E99" s="8" t="str">
        <f>D99&amp;COUNTIF($D$2:D99,D99)</f>
        <v>Boreal MountainMoistGrassland (Non-degraded)3</v>
      </c>
      <c r="F99" s="8" t="str">
        <f>HLOOKUP(B99,'ESVD - Land Use &amp; Climate Match'!$B$11:$V$15,4,FALSE)</f>
        <v>High Mountain - grassland</v>
      </c>
      <c r="G99" s="8">
        <f>IFERROR(VLOOKUP(F99,'ESVD - Database'!$C$3:$E$112,3,FALSE),0)</f>
        <v>1127</v>
      </c>
    </row>
    <row r="100" spans="1:7" x14ac:dyDescent="0.25">
      <c r="A100" s="84"/>
      <c r="B100" s="11" t="s">
        <v>1029</v>
      </c>
      <c r="C100" s="8" t="s">
        <v>236</v>
      </c>
      <c r="D100" s="8" t="str">
        <f t="shared" si="12"/>
        <v>Boreal MountainDryGrassland (Non-degraded)</v>
      </c>
      <c r="E100" s="8" t="str">
        <f>D100&amp;COUNTIF($D$2:D100,D100)</f>
        <v>Boreal MountainDryGrassland (Non-degraded)1</v>
      </c>
      <c r="F100" s="8" t="str">
        <f>HLOOKUP(B100,'ESVD - Land Use &amp; Climate Match'!$B$11:$V$15,2,FALSE)</f>
        <v>Alpine Tundra</v>
      </c>
      <c r="G100" s="8">
        <f>IFERROR(VLOOKUP(F100,'ESVD - Database'!$C$3:$E$112,3,FALSE),0)</f>
        <v>1127</v>
      </c>
    </row>
    <row r="101" spans="1:7" x14ac:dyDescent="0.25">
      <c r="A101" s="84"/>
      <c r="B101" s="11" t="s">
        <v>1029</v>
      </c>
      <c r="C101" s="8" t="s">
        <v>236</v>
      </c>
      <c r="D101" s="8" t="str">
        <f t="shared" si="12"/>
        <v>Boreal MountainDryGrassland (Non-degraded)</v>
      </c>
      <c r="E101" s="8" t="str">
        <f>D101&amp;COUNTIF($D$2:D101,D101)</f>
        <v>Boreal MountainDryGrassland (Non-degraded)2</v>
      </c>
      <c r="F101" s="8" t="str">
        <f>HLOOKUP(B101,'ESVD - Land Use &amp; Climate Match'!$B$11:$V$15,3,FALSE)</f>
        <v>Arctic Tundra</v>
      </c>
      <c r="G101" s="8">
        <f>IFERROR(VLOOKUP(F101,'ESVD - Database'!$C$3:$E$112,3,FALSE),0)</f>
        <v>1127</v>
      </c>
    </row>
    <row r="102" spans="1:7" x14ac:dyDescent="0.25">
      <c r="A102" s="84"/>
      <c r="B102" s="11" t="s">
        <v>1029</v>
      </c>
      <c r="C102" s="8" t="s">
        <v>236</v>
      </c>
      <c r="D102" s="8" t="str">
        <f t="shared" si="12"/>
        <v>Boreal MountainDryGrassland (Non-degraded)</v>
      </c>
      <c r="E102" s="8" t="str">
        <f>D102&amp;COUNTIF($D$2:D102,D102)</f>
        <v>Boreal MountainDryGrassland (Non-degraded)3</v>
      </c>
      <c r="F102" s="8" t="str">
        <f>HLOOKUP(B102,'ESVD - Land Use &amp; Climate Match'!$B$11:$V$15,4,FALSE)</f>
        <v>High Mountain - grassland</v>
      </c>
      <c r="G102" s="8">
        <f>IFERROR(VLOOKUP(F102,'ESVD - Database'!$C$3:$E$112,3,FALSE),0)</f>
        <v>1127</v>
      </c>
    </row>
    <row r="103" spans="1:7" x14ac:dyDescent="0.25">
      <c r="A103" s="84"/>
      <c r="B103" s="11" t="s">
        <v>1029</v>
      </c>
      <c r="C103" s="8" t="s">
        <v>236</v>
      </c>
      <c r="D103" s="8" t="str">
        <f t="shared" si="12"/>
        <v>Boreal MountainDryGrassland (Non-degraded)</v>
      </c>
      <c r="E103" s="8" t="str">
        <f>D103&amp;COUNTIF($D$2:D103,D103)</f>
        <v>Boreal MountainDryGrassland (Non-degraded)4</v>
      </c>
      <c r="F103" s="8" t="str">
        <f>HLOOKUP(B103,'ESVD - Land Use &amp; Climate Match'!$B$11:$V$15,5,FALSE)</f>
        <v>Savanna</v>
      </c>
      <c r="G103" s="8">
        <f>IFERROR(VLOOKUP(F103,'ESVD - Database'!$C$3:$E$112,3,FALSE),0)</f>
        <v>1127</v>
      </c>
    </row>
    <row r="104" spans="1:7" x14ac:dyDescent="0.25">
      <c r="A104" s="84"/>
      <c r="B104" s="11" t="s">
        <v>1023</v>
      </c>
      <c r="C104" s="8" t="s">
        <v>236</v>
      </c>
      <c r="D104" s="8" t="str">
        <f t="shared" ref="D104:D105" si="13">CONCATENATE(B104,C104)</f>
        <v>PolarMoistGrassland (Non-degraded)</v>
      </c>
      <c r="E104" s="8" t="str">
        <f>D104&amp;COUNTIF($D$2:D104,D104)</f>
        <v>PolarMoistGrassland (Non-degraded)1</v>
      </c>
      <c r="F104" s="8" t="str">
        <f>HLOOKUP(B104,'ESVD - Land Use &amp; Climate Match'!$B$11:$V$15,2,FALSE)</f>
        <v>Alpine Tundra</v>
      </c>
      <c r="G104" s="8">
        <f>IFERROR(VLOOKUP(F104,'ESVD - Database'!$C$3:$E$112,3,FALSE),0)</f>
        <v>1127</v>
      </c>
    </row>
    <row r="105" spans="1:7" x14ac:dyDescent="0.25">
      <c r="A105" s="84"/>
      <c r="B105" s="11" t="s">
        <v>1023</v>
      </c>
      <c r="C105" s="8" t="s">
        <v>236</v>
      </c>
      <c r="D105" s="8" t="str">
        <f t="shared" si="13"/>
        <v>PolarMoistGrassland (Non-degraded)</v>
      </c>
      <c r="E105" s="8" t="str">
        <f>D105&amp;COUNTIF($D$2:D105,D105)</f>
        <v>PolarMoistGrassland (Non-degraded)2</v>
      </c>
      <c r="F105" s="8" t="str">
        <f>HLOOKUP(B105,'ESVD - Land Use &amp; Climate Match'!$B$11:$V$15,3,FALSE)</f>
        <v>Arctic Tundra</v>
      </c>
      <c r="G105" s="8">
        <f>IFERROR(VLOOKUP(F105,'ESVD - Database'!$C$3:$E$112,3,FALSE),0)</f>
        <v>1127</v>
      </c>
    </row>
    <row r="106" spans="1:7" x14ac:dyDescent="0.25">
      <c r="A106" s="84"/>
      <c r="B106" s="11" t="s">
        <v>1023</v>
      </c>
      <c r="C106" s="8" t="s">
        <v>236</v>
      </c>
      <c r="D106" s="8" t="str">
        <f t="shared" ref="D106:D108" si="14">CONCATENATE(B106,C106)</f>
        <v>PolarMoistGrassland (Non-degraded)</v>
      </c>
      <c r="E106" s="8" t="str">
        <f>D106&amp;COUNTIF($D$2:D106,D106)</f>
        <v>PolarMoistGrassland (Non-degraded)3</v>
      </c>
      <c r="F106" s="8" t="str">
        <f>HLOOKUP(B106,'ESVD - Land Use &amp; Climate Match'!$B$11:$V$15,4,FALSE)</f>
        <v>High Mountain - grassland</v>
      </c>
      <c r="G106" s="8">
        <f>IFERROR(VLOOKUP(F106,'ESVD - Database'!$C$3:$E$112,3,FALSE),0)</f>
        <v>1127</v>
      </c>
    </row>
    <row r="107" spans="1:7" x14ac:dyDescent="0.25">
      <c r="A107" s="84"/>
      <c r="B107" s="11" t="s">
        <v>1022</v>
      </c>
      <c r="C107" s="8" t="s">
        <v>236</v>
      </c>
      <c r="D107" s="8" t="str">
        <f t="shared" si="14"/>
        <v>PolarDryGrassland (Non-degraded)</v>
      </c>
      <c r="E107" s="8" t="str">
        <f>D107&amp;COUNTIF($D$2:D107,D107)</f>
        <v>PolarDryGrassland (Non-degraded)1</v>
      </c>
      <c r="F107" s="8" t="str">
        <f>HLOOKUP(B107,'ESVD - Land Use &amp; Climate Match'!$B$11:$V$15,2,FALSE)</f>
        <v>Alpine Tundra</v>
      </c>
      <c r="G107" s="8">
        <f>IFERROR(VLOOKUP(F107,'ESVD - Database'!$C$3:$E$112,3,FALSE),0)</f>
        <v>1127</v>
      </c>
    </row>
    <row r="108" spans="1:7" x14ac:dyDescent="0.25">
      <c r="A108" s="84"/>
      <c r="B108" s="11" t="s">
        <v>1022</v>
      </c>
      <c r="C108" s="8" t="s">
        <v>236</v>
      </c>
      <c r="D108" s="8" t="str">
        <f t="shared" si="14"/>
        <v>PolarDryGrassland (Non-degraded)</v>
      </c>
      <c r="E108" s="8" t="str">
        <f>D108&amp;COUNTIF($D$2:D108,D108)</f>
        <v>PolarDryGrassland (Non-degraded)2</v>
      </c>
      <c r="F108" s="8" t="str">
        <f>HLOOKUP(B108,'ESVD - Land Use &amp; Climate Match'!$B$11:$V$15,3,FALSE)</f>
        <v>Arctic Tundra</v>
      </c>
      <c r="G108" s="8">
        <f>IFERROR(VLOOKUP(F108,'ESVD - Database'!$C$3:$E$112,3,FALSE),0)</f>
        <v>1127</v>
      </c>
    </row>
    <row r="109" spans="1:7" x14ac:dyDescent="0.25">
      <c r="A109" s="84"/>
      <c r="B109" s="11" t="s">
        <v>1022</v>
      </c>
      <c r="C109" s="8" t="s">
        <v>236</v>
      </c>
      <c r="D109" s="8" t="str">
        <f t="shared" ref="D109:D110" si="15">CONCATENATE(B109,C109)</f>
        <v>PolarDryGrassland (Non-degraded)</v>
      </c>
      <c r="E109" s="8" t="str">
        <f>D109&amp;COUNTIF($D$2:D109,D109)</f>
        <v>PolarDryGrassland (Non-degraded)3</v>
      </c>
      <c r="F109" s="8" t="str">
        <f>HLOOKUP(B109,'ESVD - Land Use &amp; Climate Match'!$B$11:$V$15,4,FALSE)</f>
        <v>High Mountain - grassland</v>
      </c>
      <c r="G109" s="8">
        <f>IFERROR(VLOOKUP(F109,'ESVD - Database'!$C$3:$E$112,3,FALSE),0)</f>
        <v>1127</v>
      </c>
    </row>
    <row r="110" spans="1:7" x14ac:dyDescent="0.25">
      <c r="A110" s="84"/>
      <c r="B110" s="11" t="s">
        <v>1022</v>
      </c>
      <c r="C110" s="8" t="s">
        <v>236</v>
      </c>
      <c r="D110" s="8" t="str">
        <f t="shared" si="15"/>
        <v>PolarDryGrassland (Non-degraded)</v>
      </c>
      <c r="E110" s="8" t="str">
        <f>D110&amp;COUNTIF($D$2:D110,D110)</f>
        <v>PolarDryGrassland (Non-degraded)4</v>
      </c>
      <c r="F110" s="8" t="str">
        <f>HLOOKUP(B110,'ESVD - Land Use &amp; Climate Match'!$B$11:$V$15,5,FALSE)</f>
        <v>Savanna</v>
      </c>
      <c r="G110" s="8">
        <f>IFERROR(VLOOKUP(F110,'ESVD - Database'!$C$3:$E$112,3,FALSE),0)</f>
        <v>1127</v>
      </c>
    </row>
    <row r="111" spans="1:7" x14ac:dyDescent="0.25">
      <c r="A111" s="84"/>
      <c r="B111" s="11" t="s">
        <v>1030</v>
      </c>
      <c r="C111" s="8" t="s">
        <v>236</v>
      </c>
      <c r="D111" s="8" t="str">
        <f t="shared" ref="D111:D117" si="16">CONCATENATE(B111,C111)</f>
        <v>Polar MountainMoistGrassland (Non-degraded)</v>
      </c>
      <c r="E111" s="8" t="str">
        <f>D111&amp;COUNTIF($D$2:D111,D111)</f>
        <v>Polar MountainMoistGrassland (Non-degraded)1</v>
      </c>
      <c r="F111" s="8" t="str">
        <f>HLOOKUP(B111,'ESVD - Land Use &amp; Climate Match'!$B$11:$V$15,2,FALSE)</f>
        <v>Alpine Tundra</v>
      </c>
      <c r="G111" s="8">
        <f>IFERROR(VLOOKUP(F111,'ESVD - Database'!$C$3:$E$112,3,FALSE),0)</f>
        <v>1127</v>
      </c>
    </row>
    <row r="112" spans="1:7" x14ac:dyDescent="0.25">
      <c r="A112" s="84"/>
      <c r="B112" s="11" t="s">
        <v>1030</v>
      </c>
      <c r="C112" s="8" t="s">
        <v>236</v>
      </c>
      <c r="D112" s="8" t="str">
        <f t="shared" si="16"/>
        <v>Polar MountainMoistGrassland (Non-degraded)</v>
      </c>
      <c r="E112" s="8" t="str">
        <f>D112&amp;COUNTIF($D$2:D112,D112)</f>
        <v>Polar MountainMoistGrassland (Non-degraded)2</v>
      </c>
      <c r="F112" s="8" t="str">
        <f>HLOOKUP(B112,'ESVD - Land Use &amp; Climate Match'!$B$11:$V$15,3,FALSE)</f>
        <v>Arctic Tundra</v>
      </c>
      <c r="G112" s="8">
        <f>IFERROR(VLOOKUP(F112,'ESVD - Database'!$C$3:$E$112,3,FALSE),0)</f>
        <v>1127</v>
      </c>
    </row>
    <row r="113" spans="1:7" x14ac:dyDescent="0.25">
      <c r="A113" s="84"/>
      <c r="B113" s="11" t="s">
        <v>1030</v>
      </c>
      <c r="C113" s="8" t="s">
        <v>236</v>
      </c>
      <c r="D113" s="8" t="str">
        <f t="shared" si="16"/>
        <v>Polar MountainMoistGrassland (Non-degraded)</v>
      </c>
      <c r="E113" s="8" t="str">
        <f>D113&amp;COUNTIF($D$2:D113,D113)</f>
        <v>Polar MountainMoistGrassland (Non-degraded)3</v>
      </c>
      <c r="F113" s="8" t="str">
        <f>HLOOKUP(B113,'ESVD - Land Use &amp; Climate Match'!$B$11:$V$15,4,FALSE)</f>
        <v>High Mountain - grassland</v>
      </c>
      <c r="G113" s="8">
        <f>IFERROR(VLOOKUP(F113,'ESVD - Database'!$C$3:$E$112,3,FALSE),0)</f>
        <v>1127</v>
      </c>
    </row>
    <row r="114" spans="1:7" x14ac:dyDescent="0.25">
      <c r="A114" s="84"/>
      <c r="B114" s="11" t="s">
        <v>1031</v>
      </c>
      <c r="C114" s="8" t="s">
        <v>236</v>
      </c>
      <c r="D114" s="8" t="str">
        <f t="shared" si="16"/>
        <v>Polar MountainDryGrassland (Non-degraded)</v>
      </c>
      <c r="E114" s="8" t="str">
        <f>D114&amp;COUNTIF($D$2:D114,D114)</f>
        <v>Polar MountainDryGrassland (Non-degraded)1</v>
      </c>
      <c r="F114" s="8" t="str">
        <f>HLOOKUP(B114,'ESVD - Land Use &amp; Climate Match'!$B$11:$V$15,2,FALSE)</f>
        <v>Alpine Tundra</v>
      </c>
      <c r="G114" s="8">
        <f>IFERROR(VLOOKUP(F114,'ESVD - Database'!$C$3:$E$112,3,FALSE),0)</f>
        <v>1127</v>
      </c>
    </row>
    <row r="115" spans="1:7" x14ac:dyDescent="0.25">
      <c r="A115" s="84"/>
      <c r="B115" s="11" t="s">
        <v>1031</v>
      </c>
      <c r="C115" s="8" t="s">
        <v>236</v>
      </c>
      <c r="D115" s="8" t="str">
        <f t="shared" si="16"/>
        <v>Polar MountainDryGrassland (Non-degraded)</v>
      </c>
      <c r="E115" s="8" t="str">
        <f>D115&amp;COUNTIF($D$2:D115,D115)</f>
        <v>Polar MountainDryGrassland (Non-degraded)2</v>
      </c>
      <c r="F115" s="8" t="str">
        <f>HLOOKUP(B115,'ESVD - Land Use &amp; Climate Match'!$B$11:$V$15,3,FALSE)</f>
        <v>Arctic Tundra</v>
      </c>
      <c r="G115" s="8">
        <f>IFERROR(VLOOKUP(F115,'ESVD - Database'!$C$3:$E$112,3,FALSE),0)</f>
        <v>1127</v>
      </c>
    </row>
    <row r="116" spans="1:7" x14ac:dyDescent="0.25">
      <c r="A116" s="84"/>
      <c r="B116" s="11" t="s">
        <v>1031</v>
      </c>
      <c r="C116" s="8" t="s">
        <v>236</v>
      </c>
      <c r="D116" s="8" t="str">
        <f t="shared" si="16"/>
        <v>Polar MountainDryGrassland (Non-degraded)</v>
      </c>
      <c r="E116" s="8" t="str">
        <f>D116&amp;COUNTIF($D$2:D116,D116)</f>
        <v>Polar MountainDryGrassland (Non-degraded)3</v>
      </c>
      <c r="F116" s="8" t="str">
        <f>HLOOKUP(B116,'ESVD - Land Use &amp; Climate Match'!$B$11:$V$15,4,FALSE)</f>
        <v>High Mountain - grassland</v>
      </c>
      <c r="G116" s="8">
        <f>IFERROR(VLOOKUP(F116,'ESVD - Database'!$C$3:$E$112,3,FALSE),0)</f>
        <v>1127</v>
      </c>
    </row>
    <row r="117" spans="1:7" x14ac:dyDescent="0.25">
      <c r="A117" s="84"/>
      <c r="B117" s="11" t="s">
        <v>1031</v>
      </c>
      <c r="C117" s="8" t="s">
        <v>236</v>
      </c>
      <c r="D117" s="8" t="str">
        <f t="shared" si="16"/>
        <v>Polar MountainDryGrassland (Non-degraded)</v>
      </c>
      <c r="E117" s="8" t="str">
        <f>D117&amp;COUNTIF($D$2:D117,D117)</f>
        <v>Polar MountainDryGrassland (Non-degraded)4</v>
      </c>
      <c r="F117" s="8" t="str">
        <f>HLOOKUP(B117,'ESVD - Land Use &amp; Climate Match'!$B$11:$V$15,5,FALSE)</f>
        <v>Savanna</v>
      </c>
      <c r="G117" s="8">
        <f>IFERROR(VLOOKUP(F117,'ESVD - Database'!$C$3:$E$112,3,FALSE),0)</f>
        <v>1127</v>
      </c>
    </row>
    <row r="118" spans="1:7" x14ac:dyDescent="0.25">
      <c r="A118" s="85"/>
      <c r="B118" s="8" t="s">
        <v>643</v>
      </c>
      <c r="C118" s="8" t="s">
        <v>161</v>
      </c>
      <c r="D118" s="8" t="str">
        <f t="shared" si="9"/>
        <v>TropicalWetCropland</v>
      </c>
      <c r="E118" s="8" t="str">
        <f>D118&amp;COUNTIF($D$2:D118,D118)</f>
        <v>TropicalWetCropland1</v>
      </c>
      <c r="F118" s="8" t="str">
        <f>HLOOKUP('ESVD - SUMMARY TABLE'!B118,'ESVD - Land Use &amp; Climate Match'!$B$17:$V$18,2,FALSE)</f>
        <v>Cropland (arable land)</v>
      </c>
      <c r="G118" s="8">
        <f>IFERROR(VLOOKUP(F118,'ESVD - Database'!$C$3:$E$112,3,FALSE),0)</f>
        <v>1127</v>
      </c>
    </row>
    <row r="119" spans="1:7" x14ac:dyDescent="0.25">
      <c r="A119" s="85"/>
      <c r="B119" s="8" t="s">
        <v>644</v>
      </c>
      <c r="C119" s="8" t="s">
        <v>161</v>
      </c>
      <c r="D119" s="8" t="str">
        <f t="shared" ref="D119:D232" si="17">CONCATENATE(B119,C119)</f>
        <v>TropicalMoistCropland</v>
      </c>
      <c r="E119" s="8" t="str">
        <f>D119&amp;COUNTIF($D$2:D119,D119)</f>
        <v>TropicalMoistCropland1</v>
      </c>
      <c r="F119" s="8" t="str">
        <f>HLOOKUP('ESVD - SUMMARY TABLE'!B119,'ESVD - Land Use &amp; Climate Match'!$B$17:$V$18,2,FALSE)</f>
        <v>Cropland (arable land)</v>
      </c>
      <c r="G119" s="8">
        <f>IFERROR(VLOOKUP(F119,'ESVD - Database'!$C$3:$E$112,3,FALSE),0)</f>
        <v>1127</v>
      </c>
    </row>
    <row r="120" spans="1:7" x14ac:dyDescent="0.25">
      <c r="A120" s="85"/>
      <c r="B120" s="8" t="s">
        <v>645</v>
      </c>
      <c r="C120" s="8" t="s">
        <v>161</v>
      </c>
      <c r="D120" s="8" t="str">
        <f t="shared" si="17"/>
        <v>TropicalDryCropland</v>
      </c>
      <c r="E120" s="8" t="str">
        <f>D120&amp;COUNTIF($D$2:D120,D120)</f>
        <v>TropicalDryCropland1</v>
      </c>
      <c r="F120" s="8" t="str">
        <f>HLOOKUP('ESVD - SUMMARY TABLE'!B120,'ESVD - Land Use &amp; Climate Match'!$B$17:$V$18,2,FALSE)</f>
        <v>Cropland (arable land)</v>
      </c>
      <c r="G120" s="8">
        <f>IFERROR(VLOOKUP(F120,'ESVD - Database'!$C$3:$E$112,3,FALSE),0)</f>
        <v>1127</v>
      </c>
    </row>
    <row r="121" spans="1:7" x14ac:dyDescent="0.25">
      <c r="A121" s="85"/>
      <c r="B121" s="8" t="s">
        <v>646</v>
      </c>
      <c r="C121" s="8" t="s">
        <v>161</v>
      </c>
      <c r="D121" s="8" t="str">
        <f t="shared" si="17"/>
        <v>Tropical MountainMoistCropland</v>
      </c>
      <c r="E121" s="8" t="str">
        <f>D121&amp;COUNTIF($D$2:D121,D121)</f>
        <v>Tropical MountainMoistCropland1</v>
      </c>
      <c r="F121" s="8" t="str">
        <f>HLOOKUP('ESVD - SUMMARY TABLE'!B121,'ESVD - Land Use &amp; Climate Match'!$B$17:$V$18,2,FALSE)</f>
        <v>Cropland (arable land)</v>
      </c>
      <c r="G121" s="8">
        <f>IFERROR(VLOOKUP(F121,'ESVD - Database'!$C$3:$E$112,3,FALSE),0)</f>
        <v>1127</v>
      </c>
    </row>
    <row r="122" spans="1:7" x14ac:dyDescent="0.25">
      <c r="A122" s="85"/>
      <c r="B122" s="8" t="s">
        <v>647</v>
      </c>
      <c r="C122" s="8" t="s">
        <v>161</v>
      </c>
      <c r="D122" s="8" t="str">
        <f t="shared" si="17"/>
        <v>Tropical MountainDryCropland</v>
      </c>
      <c r="E122" s="8" t="str">
        <f>D122&amp;COUNTIF($D$2:D122,D122)</f>
        <v>Tropical MountainDryCropland1</v>
      </c>
      <c r="F122" s="8" t="str">
        <f>HLOOKUP('ESVD - SUMMARY TABLE'!B122,'ESVD - Land Use &amp; Climate Match'!$B$17:$V$18,2,FALSE)</f>
        <v>Cropland (arable land)</v>
      </c>
      <c r="G122" s="8">
        <f>IFERROR(VLOOKUP(F122,'ESVD - Database'!$C$3:$E$112,3,FALSE),0)</f>
        <v>1127</v>
      </c>
    </row>
    <row r="123" spans="1:7" x14ac:dyDescent="0.25">
      <c r="A123" s="85"/>
      <c r="B123" s="8" t="s">
        <v>648</v>
      </c>
      <c r="C123" s="8" t="s">
        <v>161</v>
      </c>
      <c r="D123" s="8" t="str">
        <f t="shared" si="17"/>
        <v>Warm TemperateMoistCropland</v>
      </c>
      <c r="E123" s="8" t="str">
        <f>D123&amp;COUNTIF($D$2:D123,D123)</f>
        <v>Warm TemperateMoistCropland1</v>
      </c>
      <c r="F123" s="8" t="str">
        <f>HLOOKUP('ESVD - SUMMARY TABLE'!B123,'ESVD - Land Use &amp; Climate Match'!$B$17:$V$18,2,FALSE)</f>
        <v>Cropland (arable land)</v>
      </c>
      <c r="G123" s="8">
        <f>IFERROR(VLOOKUP(F123,'ESVD - Database'!$C$3:$E$112,3,FALSE),0)</f>
        <v>1127</v>
      </c>
    </row>
    <row r="124" spans="1:7" x14ac:dyDescent="0.25">
      <c r="A124" s="85"/>
      <c r="B124" s="8" t="s">
        <v>649</v>
      </c>
      <c r="C124" s="8" t="s">
        <v>161</v>
      </c>
      <c r="D124" s="8" t="str">
        <f t="shared" si="17"/>
        <v>Warm TemperateDryCropland</v>
      </c>
      <c r="E124" s="8" t="str">
        <f>D124&amp;COUNTIF($D$2:D124,D124)</f>
        <v>Warm TemperateDryCropland1</v>
      </c>
      <c r="F124" s="8" t="str">
        <f>HLOOKUP('ESVD - SUMMARY TABLE'!B124,'ESVD - Land Use &amp; Climate Match'!$B$17:$V$18,2,FALSE)</f>
        <v>Cropland (arable land)</v>
      </c>
      <c r="G124" s="8">
        <f>IFERROR(VLOOKUP(F124,'ESVD - Database'!$C$3:$E$112,3,FALSE),0)</f>
        <v>1127</v>
      </c>
    </row>
    <row r="125" spans="1:7" x14ac:dyDescent="0.25">
      <c r="A125" s="85"/>
      <c r="B125" s="11" t="s">
        <v>1024</v>
      </c>
      <c r="C125" s="8" t="s">
        <v>161</v>
      </c>
      <c r="D125" s="8" t="str">
        <f t="shared" ref="D125:D138" si="18">CONCATENATE(B125,C125)</f>
        <v>Warm Temperate MountainMoistCropland</v>
      </c>
      <c r="E125" s="8" t="str">
        <f>D125&amp;COUNTIF($D$2:D125,D125)</f>
        <v>Warm Temperate MountainMoistCropland1</v>
      </c>
      <c r="F125" s="8" t="str">
        <f>HLOOKUP('ESVD - SUMMARY TABLE'!B125,'ESVD - Land Use &amp; Climate Match'!$B$17:$V$18,2,FALSE)</f>
        <v>Cropland (arable land)</v>
      </c>
      <c r="G125" s="8">
        <f>IFERROR(VLOOKUP(F125,'ESVD - Database'!$C$3:$E$112,3,FALSE),0)</f>
        <v>1127</v>
      </c>
    </row>
    <row r="126" spans="1:7" x14ac:dyDescent="0.25">
      <c r="A126" s="85"/>
      <c r="B126" s="11" t="s">
        <v>1025</v>
      </c>
      <c r="C126" s="8" t="s">
        <v>161</v>
      </c>
      <c r="D126" s="8" t="str">
        <f t="shared" si="18"/>
        <v>Warm Temperate MountainDryCropland</v>
      </c>
      <c r="E126" s="8" t="str">
        <f>D126&amp;COUNTIF($D$2:D126,D126)</f>
        <v>Warm Temperate MountainDryCropland1</v>
      </c>
      <c r="F126" s="8" t="str">
        <f>HLOOKUP('ESVD - SUMMARY TABLE'!B126,'ESVD - Land Use &amp; Climate Match'!$B$17:$V$18,2,FALSE)</f>
        <v>Cropland (arable land)</v>
      </c>
      <c r="G126" s="8">
        <f>IFERROR(VLOOKUP(F126,'ESVD - Database'!$C$3:$E$112,3,FALSE),0)</f>
        <v>1127</v>
      </c>
    </row>
    <row r="127" spans="1:7" x14ac:dyDescent="0.25">
      <c r="A127" s="85"/>
      <c r="B127" s="8" t="s">
        <v>650</v>
      </c>
      <c r="C127" s="8" t="s">
        <v>161</v>
      </c>
      <c r="D127" s="8" t="str">
        <f t="shared" si="18"/>
        <v>Cool TemperateMoistCropland</v>
      </c>
      <c r="E127" s="8" t="str">
        <f>D127&amp;COUNTIF($D$2:D127,D127)</f>
        <v>Cool TemperateMoistCropland1</v>
      </c>
      <c r="F127" s="8" t="str">
        <f>HLOOKUP('ESVD - SUMMARY TABLE'!B127,'ESVD - Land Use &amp; Climate Match'!$B$17:$V$18,2,FALSE)</f>
        <v>Cropland (arable land)</v>
      </c>
      <c r="G127" s="8">
        <f>IFERROR(VLOOKUP(F127,'ESVD - Database'!$C$3:$E$112,3,FALSE),0)</f>
        <v>1127</v>
      </c>
    </row>
    <row r="128" spans="1:7" x14ac:dyDescent="0.25">
      <c r="A128" s="85"/>
      <c r="B128" s="8" t="s">
        <v>651</v>
      </c>
      <c r="C128" s="8" t="s">
        <v>161</v>
      </c>
      <c r="D128" s="8" t="str">
        <f t="shared" si="18"/>
        <v>Cool TemperateDryCropland</v>
      </c>
      <c r="E128" s="8" t="str">
        <f>D128&amp;COUNTIF($D$2:D128,D128)</f>
        <v>Cool TemperateDryCropland1</v>
      </c>
      <c r="F128" s="8" t="str">
        <f>HLOOKUP('ESVD - SUMMARY TABLE'!B128,'ESVD - Land Use &amp; Climate Match'!$B$17:$V$18,2,FALSE)</f>
        <v>Cropland (arable land)</v>
      </c>
      <c r="G128" s="8">
        <f>IFERROR(VLOOKUP(F128,'ESVD - Database'!$C$3:$E$112,3,FALSE),0)</f>
        <v>1127</v>
      </c>
    </row>
    <row r="129" spans="1:7" x14ac:dyDescent="0.25">
      <c r="A129" s="85"/>
      <c r="B129" s="11" t="s">
        <v>1026</v>
      </c>
      <c r="C129" s="8" t="s">
        <v>161</v>
      </c>
      <c r="D129" s="8" t="str">
        <f t="shared" si="18"/>
        <v>Cool Temperate MountainMoistCropland</v>
      </c>
      <c r="E129" s="8" t="str">
        <f>D129&amp;COUNTIF($D$2:D129,D129)</f>
        <v>Cool Temperate MountainMoistCropland1</v>
      </c>
      <c r="F129" s="8" t="str">
        <f>HLOOKUP('ESVD - SUMMARY TABLE'!B129,'ESVD - Land Use &amp; Climate Match'!$B$17:$V$18,2,FALSE)</f>
        <v>Cropland (arable land)</v>
      </c>
      <c r="G129" s="8">
        <f>IFERROR(VLOOKUP(F129,'ESVD - Database'!$C$3:$E$112,3,FALSE),0)</f>
        <v>1127</v>
      </c>
    </row>
    <row r="130" spans="1:7" x14ac:dyDescent="0.25">
      <c r="A130" s="85"/>
      <c r="B130" s="11" t="s">
        <v>1027</v>
      </c>
      <c r="C130" s="8" t="s">
        <v>161</v>
      </c>
      <c r="D130" s="8" t="str">
        <f t="shared" si="18"/>
        <v>Cool Temperate MountainDryCropland</v>
      </c>
      <c r="E130" s="8" t="str">
        <f>D130&amp;COUNTIF($D$2:D130,D130)</f>
        <v>Cool Temperate MountainDryCropland1</v>
      </c>
      <c r="F130" s="8" t="str">
        <f>HLOOKUP('ESVD - SUMMARY TABLE'!B130,'ESVD - Land Use &amp; Climate Match'!$B$17:$V$18,2,FALSE)</f>
        <v>Cropland (arable land)</v>
      </c>
      <c r="G130" s="8">
        <f>IFERROR(VLOOKUP(F130,'ESVD - Database'!$C$3:$E$112,3,FALSE),0)</f>
        <v>1127</v>
      </c>
    </row>
    <row r="131" spans="1:7" x14ac:dyDescent="0.25">
      <c r="A131" s="85"/>
      <c r="B131" s="8" t="s">
        <v>652</v>
      </c>
      <c r="C131" s="8" t="s">
        <v>161</v>
      </c>
      <c r="D131" s="8" t="str">
        <f t="shared" si="18"/>
        <v>BorealMoistCropland</v>
      </c>
      <c r="E131" s="8" t="str">
        <f>D131&amp;COUNTIF($D$2:D131,D131)</f>
        <v>BorealMoistCropland1</v>
      </c>
      <c r="F131" s="8" t="str">
        <f>HLOOKUP('ESVD - SUMMARY TABLE'!B131,'ESVD - Land Use &amp; Climate Match'!$B$17:$V$18,2,FALSE)</f>
        <v>Cropland (arable land)</v>
      </c>
      <c r="G131" s="8">
        <f>IFERROR(VLOOKUP(F131,'ESVD - Database'!$C$3:$E$112,3,FALSE),0)</f>
        <v>1127</v>
      </c>
    </row>
    <row r="132" spans="1:7" x14ac:dyDescent="0.25">
      <c r="A132" s="85"/>
      <c r="B132" s="8" t="s">
        <v>653</v>
      </c>
      <c r="C132" s="8" t="s">
        <v>161</v>
      </c>
      <c r="D132" s="8" t="str">
        <f t="shared" si="18"/>
        <v>BorealDryCropland</v>
      </c>
      <c r="E132" s="8" t="str">
        <f>D132&amp;COUNTIF($D$2:D132,D132)</f>
        <v>BorealDryCropland1</v>
      </c>
      <c r="F132" s="8" t="str">
        <f>HLOOKUP('ESVD - SUMMARY TABLE'!B132,'ESVD - Land Use &amp; Climate Match'!$B$17:$V$18,2,FALSE)</f>
        <v>Cropland (arable land)</v>
      </c>
      <c r="G132" s="8">
        <f>IFERROR(VLOOKUP(F132,'ESVD - Database'!$C$3:$E$112,3,FALSE),0)</f>
        <v>1127</v>
      </c>
    </row>
    <row r="133" spans="1:7" x14ac:dyDescent="0.25">
      <c r="A133" s="85"/>
      <c r="B133" s="11" t="s">
        <v>1028</v>
      </c>
      <c r="C133" s="8" t="s">
        <v>161</v>
      </c>
      <c r="D133" s="8" t="str">
        <f t="shared" si="18"/>
        <v>Boreal MountainMoistCropland</v>
      </c>
      <c r="E133" s="8" t="str">
        <f>D133&amp;COUNTIF($D$2:D133,D133)</f>
        <v>Boreal MountainMoistCropland1</v>
      </c>
      <c r="F133" s="8" t="str">
        <f>HLOOKUP('ESVD - SUMMARY TABLE'!B133,'ESVD - Land Use &amp; Climate Match'!$B$17:$V$18,2,FALSE)</f>
        <v>Cropland (arable land)</v>
      </c>
      <c r="G133" s="8">
        <f>IFERROR(VLOOKUP(F133,'ESVD - Database'!$C$3:$E$112,3,FALSE),0)</f>
        <v>1127</v>
      </c>
    </row>
    <row r="134" spans="1:7" x14ac:dyDescent="0.25">
      <c r="A134" s="85"/>
      <c r="B134" s="11" t="s">
        <v>1029</v>
      </c>
      <c r="C134" s="8" t="s">
        <v>161</v>
      </c>
      <c r="D134" s="8" t="str">
        <f t="shared" si="18"/>
        <v>Boreal MountainDryCropland</v>
      </c>
      <c r="E134" s="8" t="str">
        <f>D134&amp;COUNTIF($D$2:D134,D134)</f>
        <v>Boreal MountainDryCropland1</v>
      </c>
      <c r="F134" s="8" t="str">
        <f>HLOOKUP('ESVD - SUMMARY TABLE'!B134,'ESVD - Land Use &amp; Climate Match'!$B$17:$V$18,2,FALSE)</f>
        <v>Cropland (arable land)</v>
      </c>
      <c r="G134" s="8">
        <f>IFERROR(VLOOKUP(F134,'ESVD - Database'!$C$3:$E$112,3,FALSE),0)</f>
        <v>1127</v>
      </c>
    </row>
    <row r="135" spans="1:7" x14ac:dyDescent="0.25">
      <c r="A135" s="85"/>
      <c r="B135" s="11" t="s">
        <v>1023</v>
      </c>
      <c r="C135" s="8" t="s">
        <v>161</v>
      </c>
      <c r="D135" s="8" t="str">
        <f t="shared" si="18"/>
        <v>PolarMoistCropland</v>
      </c>
      <c r="E135" s="8" t="str">
        <f>D135&amp;COUNTIF($D$2:D135,D135)</f>
        <v>PolarMoistCropland1</v>
      </c>
      <c r="F135" s="8" t="str">
        <f>HLOOKUP('ESVD - SUMMARY TABLE'!B135,'ESVD - Land Use &amp; Climate Match'!$B$17:$V$18,2,FALSE)</f>
        <v>Cropland (arable land)</v>
      </c>
      <c r="G135" s="8">
        <f>IFERROR(VLOOKUP(F135,'ESVD - Database'!$C$3:$E$112,3,FALSE),0)</f>
        <v>1127</v>
      </c>
    </row>
    <row r="136" spans="1:7" x14ac:dyDescent="0.25">
      <c r="A136" s="85"/>
      <c r="B136" s="11" t="s">
        <v>1022</v>
      </c>
      <c r="C136" s="8" t="s">
        <v>161</v>
      </c>
      <c r="D136" s="8" t="str">
        <f t="shared" si="18"/>
        <v>PolarDryCropland</v>
      </c>
      <c r="E136" s="8" t="str">
        <f>D136&amp;COUNTIF($D$2:D136,D136)</f>
        <v>PolarDryCropland1</v>
      </c>
      <c r="F136" s="8" t="str">
        <f>HLOOKUP('ESVD - SUMMARY TABLE'!B136,'ESVD - Land Use &amp; Climate Match'!$B$17:$V$18,2,FALSE)</f>
        <v>Cropland (arable land)</v>
      </c>
      <c r="G136" s="8">
        <f>IFERROR(VLOOKUP(F136,'ESVD - Database'!$C$3:$E$112,3,FALSE),0)</f>
        <v>1127</v>
      </c>
    </row>
    <row r="137" spans="1:7" x14ac:dyDescent="0.25">
      <c r="A137" s="85"/>
      <c r="B137" s="11" t="s">
        <v>1030</v>
      </c>
      <c r="C137" s="8" t="s">
        <v>161</v>
      </c>
      <c r="D137" s="8" t="str">
        <f t="shared" si="18"/>
        <v>Polar MountainMoistCropland</v>
      </c>
      <c r="E137" s="8" t="str">
        <f>D137&amp;COUNTIF($D$2:D137,D137)</f>
        <v>Polar MountainMoistCropland1</v>
      </c>
      <c r="F137" s="8" t="str">
        <f>HLOOKUP('ESVD - SUMMARY TABLE'!B137,'ESVD - Land Use &amp; Climate Match'!$B$17:$V$18,2,FALSE)</f>
        <v>Cropland (arable land)</v>
      </c>
      <c r="G137" s="8">
        <f>IFERROR(VLOOKUP(F137,'ESVD - Database'!$C$3:$E$112,3,FALSE),0)</f>
        <v>1127</v>
      </c>
    </row>
    <row r="138" spans="1:7" x14ac:dyDescent="0.25">
      <c r="A138" s="85"/>
      <c r="B138" s="11" t="s">
        <v>1031</v>
      </c>
      <c r="C138" s="8" t="s">
        <v>161</v>
      </c>
      <c r="D138" s="8" t="str">
        <f t="shared" si="18"/>
        <v>Polar MountainDryCropland</v>
      </c>
      <c r="E138" s="8" t="str">
        <f>D138&amp;COUNTIF($D$2:D138,D138)</f>
        <v>Polar MountainDryCropland1</v>
      </c>
      <c r="F138" s="8" t="str">
        <f>HLOOKUP('ESVD - SUMMARY TABLE'!B138,'ESVD - Land Use &amp; Climate Match'!$B$17:$V$18,2,FALSE)</f>
        <v>Cropland (arable land)</v>
      </c>
      <c r="G138" s="8">
        <f>IFERROR(VLOOKUP(F138,'ESVD - Database'!$C$3:$E$112,3,FALSE),0)</f>
        <v>1127</v>
      </c>
    </row>
    <row r="139" spans="1:7" x14ac:dyDescent="0.25">
      <c r="A139" s="101"/>
      <c r="B139" s="8" t="s">
        <v>643</v>
      </c>
      <c r="C139" s="8" t="s">
        <v>167</v>
      </c>
      <c r="D139" s="8" t="str">
        <f t="shared" si="17"/>
        <v>TropicalWetFlooded Rice</v>
      </c>
      <c r="E139" s="8" t="str">
        <f>D139&amp;COUNTIF($D$2:D139,D139)</f>
        <v>TropicalWetFlooded Rice1</v>
      </c>
      <c r="F139" s="8" t="str">
        <f>HLOOKUP('ESVD - SUMMARY TABLE'!B139,'ESVD - Land Use &amp; Climate Match'!$B$20:$V$21,2,FALSE)</f>
        <v>Rice paddies, etc</v>
      </c>
      <c r="G139" s="8">
        <f>IFERROR(VLOOKUP(F139,'ESVD - Database'!$C$3:$E$112,3,FALSE),0)</f>
        <v>1127</v>
      </c>
    </row>
    <row r="140" spans="1:7" x14ac:dyDescent="0.25">
      <c r="A140" s="101"/>
      <c r="B140" s="8" t="s">
        <v>644</v>
      </c>
      <c r="C140" s="8" t="s">
        <v>167</v>
      </c>
      <c r="D140" s="8" t="str">
        <f t="shared" si="17"/>
        <v>TropicalMoistFlooded Rice</v>
      </c>
      <c r="E140" s="8" t="str">
        <f>D140&amp;COUNTIF($D$2:D140,D140)</f>
        <v>TropicalMoistFlooded Rice1</v>
      </c>
      <c r="F140" s="8" t="str">
        <f>HLOOKUP('ESVD - SUMMARY TABLE'!B140,'ESVD - Land Use &amp; Climate Match'!$B$20:$V$21,2,FALSE)</f>
        <v>Rice paddies, etc</v>
      </c>
      <c r="G140" s="8">
        <f>IFERROR(VLOOKUP(F140,'ESVD - Database'!$C$3:$E$112,3,FALSE),0)</f>
        <v>1127</v>
      </c>
    </row>
    <row r="141" spans="1:7" x14ac:dyDescent="0.25">
      <c r="A141" s="101"/>
      <c r="B141" s="8" t="s">
        <v>645</v>
      </c>
      <c r="C141" s="8" t="s">
        <v>167</v>
      </c>
      <c r="D141" s="8" t="str">
        <f t="shared" si="17"/>
        <v>TropicalDryFlooded Rice</v>
      </c>
      <c r="E141" s="8" t="str">
        <f>D141&amp;COUNTIF($D$2:D141,D141)</f>
        <v>TropicalDryFlooded Rice1</v>
      </c>
      <c r="F141" s="8" t="str">
        <f>HLOOKUP('ESVD - SUMMARY TABLE'!B141,'ESVD - Land Use &amp; Climate Match'!$B$20:$V$21,2,FALSE)</f>
        <v>Rice paddies, etc</v>
      </c>
      <c r="G141" s="8">
        <f>IFERROR(VLOOKUP(F141,'ESVD - Database'!$C$3:$E$112,3,FALSE),0)</f>
        <v>1127</v>
      </c>
    </row>
    <row r="142" spans="1:7" x14ac:dyDescent="0.25">
      <c r="A142" s="101"/>
      <c r="B142" s="8" t="s">
        <v>646</v>
      </c>
      <c r="C142" s="8" t="s">
        <v>167</v>
      </c>
      <c r="D142" s="8" t="str">
        <f t="shared" si="17"/>
        <v>Tropical MountainMoistFlooded Rice</v>
      </c>
      <c r="E142" s="8" t="str">
        <f>D142&amp;COUNTIF($D$2:D142,D142)</f>
        <v>Tropical MountainMoistFlooded Rice1</v>
      </c>
      <c r="F142" s="8" t="str">
        <f>HLOOKUP('ESVD - SUMMARY TABLE'!B142,'ESVD - Land Use &amp; Climate Match'!$B$20:$V$21,2,FALSE)</f>
        <v>Rice paddies, etc</v>
      </c>
      <c r="G142" s="8">
        <f>IFERROR(VLOOKUP(F142,'ESVD - Database'!$C$3:$E$112,3,FALSE),0)</f>
        <v>1127</v>
      </c>
    </row>
    <row r="143" spans="1:7" x14ac:dyDescent="0.25">
      <c r="A143" s="101"/>
      <c r="B143" s="8" t="s">
        <v>647</v>
      </c>
      <c r="C143" s="8" t="s">
        <v>167</v>
      </c>
      <c r="D143" s="8" t="str">
        <f t="shared" si="17"/>
        <v>Tropical MountainDryFlooded Rice</v>
      </c>
      <c r="E143" s="8" t="str">
        <f>D143&amp;COUNTIF($D$2:D143,D143)</f>
        <v>Tropical MountainDryFlooded Rice1</v>
      </c>
      <c r="F143" s="8" t="str">
        <f>HLOOKUP('ESVD - SUMMARY TABLE'!B143,'ESVD - Land Use &amp; Climate Match'!$B$20:$V$21,2,FALSE)</f>
        <v>Rice paddies, etc</v>
      </c>
      <c r="G143" s="8">
        <f>IFERROR(VLOOKUP(F143,'ESVD - Database'!$C$3:$E$112,3,FALSE),0)</f>
        <v>1127</v>
      </c>
    </row>
    <row r="144" spans="1:7" x14ac:dyDescent="0.25">
      <c r="A144" s="101"/>
      <c r="B144" s="8" t="s">
        <v>648</v>
      </c>
      <c r="C144" s="8" t="s">
        <v>167</v>
      </c>
      <c r="D144" s="8" t="str">
        <f t="shared" si="17"/>
        <v>Warm TemperateMoistFlooded Rice</v>
      </c>
      <c r="E144" s="8" t="str">
        <f>D144&amp;COUNTIF($D$2:D144,D144)</f>
        <v>Warm TemperateMoistFlooded Rice1</v>
      </c>
      <c r="F144" s="8" t="str">
        <f>HLOOKUP('ESVD - SUMMARY TABLE'!B144,'ESVD - Land Use &amp; Climate Match'!$B$20:$V$21,2,FALSE)</f>
        <v>Rice paddies, etc</v>
      </c>
      <c r="G144" s="8">
        <f>IFERROR(VLOOKUP(F144,'ESVD - Database'!$C$3:$E$112,3,FALSE),0)</f>
        <v>1127</v>
      </c>
    </row>
    <row r="145" spans="1:7" x14ac:dyDescent="0.25">
      <c r="A145" s="101"/>
      <c r="B145" s="8" t="s">
        <v>649</v>
      </c>
      <c r="C145" s="8" t="s">
        <v>167</v>
      </c>
      <c r="D145" s="8" t="str">
        <f t="shared" si="17"/>
        <v>Warm TemperateDryFlooded Rice</v>
      </c>
      <c r="E145" s="8" t="str">
        <f>D145&amp;COUNTIF($D$2:D145,D145)</f>
        <v>Warm TemperateDryFlooded Rice1</v>
      </c>
      <c r="F145" s="8" t="str">
        <f>HLOOKUP('ESVD - SUMMARY TABLE'!B145,'ESVD - Land Use &amp; Climate Match'!$B$20:$V$21,2,FALSE)</f>
        <v>Rice paddies, etc</v>
      </c>
      <c r="G145" s="8">
        <f>IFERROR(VLOOKUP(F145,'ESVD - Database'!$C$3:$E$112,3,FALSE),0)</f>
        <v>1127</v>
      </c>
    </row>
    <row r="146" spans="1:7" x14ac:dyDescent="0.25">
      <c r="A146" s="101"/>
      <c r="B146" s="11" t="s">
        <v>1024</v>
      </c>
      <c r="C146" s="8" t="s">
        <v>167</v>
      </c>
      <c r="D146" s="8" t="str">
        <f t="shared" ref="D146:D159" si="19">CONCATENATE(B146,C146)</f>
        <v>Warm Temperate MountainMoistFlooded Rice</v>
      </c>
      <c r="E146" s="8" t="str">
        <f>D146&amp;COUNTIF($D$2:D146,D146)</f>
        <v>Warm Temperate MountainMoistFlooded Rice1</v>
      </c>
      <c r="F146" s="8" t="str">
        <f>HLOOKUP('ESVD - SUMMARY TABLE'!B146,'ESVD - Land Use &amp; Climate Match'!$B$20:$V$21,2,FALSE)</f>
        <v>Rice paddies, etc</v>
      </c>
      <c r="G146" s="8">
        <f>IFERROR(VLOOKUP(F146,'ESVD - Database'!$C$3:$E$112,3,FALSE),0)</f>
        <v>1127</v>
      </c>
    </row>
    <row r="147" spans="1:7" x14ac:dyDescent="0.25">
      <c r="A147" s="101"/>
      <c r="B147" s="11" t="s">
        <v>1025</v>
      </c>
      <c r="C147" s="8" t="s">
        <v>167</v>
      </c>
      <c r="D147" s="8" t="str">
        <f t="shared" si="19"/>
        <v>Warm Temperate MountainDryFlooded Rice</v>
      </c>
      <c r="E147" s="8" t="str">
        <f>D147&amp;COUNTIF($D$2:D147,D147)</f>
        <v>Warm Temperate MountainDryFlooded Rice1</v>
      </c>
      <c r="F147" s="8" t="str">
        <f>HLOOKUP('ESVD - SUMMARY TABLE'!B147,'ESVD - Land Use &amp; Climate Match'!$B$20:$V$21,2,FALSE)</f>
        <v>Rice paddies, etc</v>
      </c>
      <c r="G147" s="8">
        <f>IFERROR(VLOOKUP(F147,'ESVD - Database'!$C$3:$E$112,3,FALSE),0)</f>
        <v>1127</v>
      </c>
    </row>
    <row r="148" spans="1:7" x14ac:dyDescent="0.25">
      <c r="A148" s="101"/>
      <c r="B148" s="8" t="s">
        <v>650</v>
      </c>
      <c r="C148" s="8" t="s">
        <v>167</v>
      </c>
      <c r="D148" s="8" t="str">
        <f t="shared" si="19"/>
        <v>Cool TemperateMoistFlooded Rice</v>
      </c>
      <c r="E148" s="8" t="str">
        <f>D148&amp;COUNTIF($D$2:D148,D148)</f>
        <v>Cool TemperateMoistFlooded Rice1</v>
      </c>
      <c r="F148" s="8" t="str">
        <f>HLOOKUP('ESVD - SUMMARY TABLE'!B148,'ESVD - Land Use &amp; Climate Match'!$B$20:$V$21,2,FALSE)</f>
        <v>Rice paddies, etc</v>
      </c>
      <c r="G148" s="8">
        <f>IFERROR(VLOOKUP(F148,'ESVD - Database'!$C$3:$E$112,3,FALSE),0)</f>
        <v>1127</v>
      </c>
    </row>
    <row r="149" spans="1:7" x14ac:dyDescent="0.25">
      <c r="A149" s="101"/>
      <c r="B149" s="8" t="s">
        <v>651</v>
      </c>
      <c r="C149" s="8" t="s">
        <v>167</v>
      </c>
      <c r="D149" s="8" t="str">
        <f t="shared" si="19"/>
        <v>Cool TemperateDryFlooded Rice</v>
      </c>
      <c r="E149" s="8" t="str">
        <f>D149&amp;COUNTIF($D$2:D149,D149)</f>
        <v>Cool TemperateDryFlooded Rice1</v>
      </c>
      <c r="F149" s="8" t="str">
        <f>HLOOKUP('ESVD - SUMMARY TABLE'!B149,'ESVD - Land Use &amp; Climate Match'!$B$20:$V$21,2,FALSE)</f>
        <v>Rice paddies, etc</v>
      </c>
      <c r="G149" s="8">
        <f>IFERROR(VLOOKUP(F149,'ESVD - Database'!$C$3:$E$112,3,FALSE),0)</f>
        <v>1127</v>
      </c>
    </row>
    <row r="150" spans="1:7" x14ac:dyDescent="0.25">
      <c r="A150" s="101"/>
      <c r="B150" s="11" t="s">
        <v>1026</v>
      </c>
      <c r="C150" s="8" t="s">
        <v>167</v>
      </c>
      <c r="D150" s="8" t="str">
        <f t="shared" si="19"/>
        <v>Cool Temperate MountainMoistFlooded Rice</v>
      </c>
      <c r="E150" s="8" t="str">
        <f>D150&amp;COUNTIF($D$2:D150,D150)</f>
        <v>Cool Temperate MountainMoistFlooded Rice1</v>
      </c>
      <c r="F150" s="8" t="str">
        <f>HLOOKUP('ESVD - SUMMARY TABLE'!B150,'ESVD - Land Use &amp; Climate Match'!$B$20:$V$21,2,FALSE)</f>
        <v>Rice paddies, etc</v>
      </c>
      <c r="G150" s="8">
        <f>IFERROR(VLOOKUP(F150,'ESVD - Database'!$C$3:$E$112,3,FALSE),0)</f>
        <v>1127</v>
      </c>
    </row>
    <row r="151" spans="1:7" x14ac:dyDescent="0.25">
      <c r="A151" s="101"/>
      <c r="B151" s="11" t="s">
        <v>1027</v>
      </c>
      <c r="C151" s="8" t="s">
        <v>167</v>
      </c>
      <c r="D151" s="8" t="str">
        <f t="shared" si="19"/>
        <v>Cool Temperate MountainDryFlooded Rice</v>
      </c>
      <c r="E151" s="8" t="str">
        <f>D151&amp;COUNTIF($D$2:D151,D151)</f>
        <v>Cool Temperate MountainDryFlooded Rice1</v>
      </c>
      <c r="F151" s="8" t="str">
        <f>HLOOKUP('ESVD - SUMMARY TABLE'!B151,'ESVD - Land Use &amp; Climate Match'!$B$20:$V$21,2,FALSE)</f>
        <v>Rice paddies, etc</v>
      </c>
      <c r="G151" s="8">
        <f>IFERROR(VLOOKUP(F151,'ESVD - Database'!$C$3:$E$112,3,FALSE),0)</f>
        <v>1127</v>
      </c>
    </row>
    <row r="152" spans="1:7" x14ac:dyDescent="0.25">
      <c r="A152" s="101"/>
      <c r="B152" s="8" t="s">
        <v>652</v>
      </c>
      <c r="C152" s="8" t="s">
        <v>167</v>
      </c>
      <c r="D152" s="8" t="str">
        <f t="shared" si="19"/>
        <v>BorealMoistFlooded Rice</v>
      </c>
      <c r="E152" s="8" t="str">
        <f>D152&amp;COUNTIF($D$2:D152,D152)</f>
        <v>BorealMoistFlooded Rice1</v>
      </c>
      <c r="F152" s="8" t="str">
        <f>HLOOKUP('ESVD - SUMMARY TABLE'!B152,'ESVD - Land Use &amp; Climate Match'!$B$20:$V$21,2,FALSE)</f>
        <v>Rice paddies, etc</v>
      </c>
      <c r="G152" s="8">
        <f>IFERROR(VLOOKUP(F152,'ESVD - Database'!$C$3:$E$112,3,FALSE),0)</f>
        <v>1127</v>
      </c>
    </row>
    <row r="153" spans="1:7" x14ac:dyDescent="0.25">
      <c r="A153" s="101"/>
      <c r="B153" s="8" t="s">
        <v>653</v>
      </c>
      <c r="C153" s="8" t="s">
        <v>167</v>
      </c>
      <c r="D153" s="8" t="str">
        <f t="shared" si="19"/>
        <v>BorealDryFlooded Rice</v>
      </c>
      <c r="E153" s="8" t="str">
        <f>D153&amp;COUNTIF($D$2:D153,D153)</f>
        <v>BorealDryFlooded Rice1</v>
      </c>
      <c r="F153" s="8" t="str">
        <f>HLOOKUP('ESVD - SUMMARY TABLE'!B153,'ESVD - Land Use &amp; Climate Match'!$B$20:$V$21,2,FALSE)</f>
        <v>Rice paddies, etc</v>
      </c>
      <c r="G153" s="8">
        <f>IFERROR(VLOOKUP(F153,'ESVD - Database'!$C$3:$E$112,3,FALSE),0)</f>
        <v>1127</v>
      </c>
    </row>
    <row r="154" spans="1:7" x14ac:dyDescent="0.25">
      <c r="A154" s="101"/>
      <c r="B154" s="11" t="s">
        <v>1028</v>
      </c>
      <c r="C154" s="8" t="s">
        <v>167</v>
      </c>
      <c r="D154" s="8" t="str">
        <f t="shared" si="19"/>
        <v>Boreal MountainMoistFlooded Rice</v>
      </c>
      <c r="E154" s="8" t="str">
        <f>D154&amp;COUNTIF($D$2:D154,D154)</f>
        <v>Boreal MountainMoistFlooded Rice1</v>
      </c>
      <c r="F154" s="8" t="str">
        <f>HLOOKUP('ESVD - SUMMARY TABLE'!B154,'ESVD - Land Use &amp; Climate Match'!$B$20:$V$21,2,FALSE)</f>
        <v>Rice paddies, etc</v>
      </c>
      <c r="G154" s="8">
        <f>IFERROR(VLOOKUP(F154,'ESVD - Database'!$C$3:$E$112,3,FALSE),0)</f>
        <v>1127</v>
      </c>
    </row>
    <row r="155" spans="1:7" x14ac:dyDescent="0.25">
      <c r="A155" s="101"/>
      <c r="B155" s="11" t="s">
        <v>1029</v>
      </c>
      <c r="C155" s="8" t="s">
        <v>167</v>
      </c>
      <c r="D155" s="8" t="str">
        <f t="shared" si="19"/>
        <v>Boreal MountainDryFlooded Rice</v>
      </c>
      <c r="E155" s="8" t="str">
        <f>D155&amp;COUNTIF($D$2:D155,D155)</f>
        <v>Boreal MountainDryFlooded Rice1</v>
      </c>
      <c r="F155" s="8" t="str">
        <f>HLOOKUP('ESVD - SUMMARY TABLE'!B155,'ESVD - Land Use &amp; Climate Match'!$B$20:$V$21,2,FALSE)</f>
        <v>Rice paddies, etc</v>
      </c>
      <c r="G155" s="8">
        <f>IFERROR(VLOOKUP(F155,'ESVD - Database'!$C$3:$E$112,3,FALSE),0)</f>
        <v>1127</v>
      </c>
    </row>
    <row r="156" spans="1:7" x14ac:dyDescent="0.25">
      <c r="A156" s="101"/>
      <c r="B156" s="11" t="s">
        <v>1023</v>
      </c>
      <c r="C156" s="8" t="s">
        <v>167</v>
      </c>
      <c r="D156" s="8" t="str">
        <f t="shared" si="19"/>
        <v>PolarMoistFlooded Rice</v>
      </c>
      <c r="E156" s="8" t="str">
        <f>D156&amp;COUNTIF($D$2:D156,D156)</f>
        <v>PolarMoistFlooded Rice1</v>
      </c>
      <c r="F156" s="8" t="str">
        <f>HLOOKUP('ESVD - SUMMARY TABLE'!B156,'ESVD - Land Use &amp; Climate Match'!$B$20:$V$21,2,FALSE)</f>
        <v>Rice paddies, etc</v>
      </c>
      <c r="G156" s="8">
        <f>IFERROR(VLOOKUP(F156,'ESVD - Database'!$C$3:$E$112,3,FALSE),0)</f>
        <v>1127</v>
      </c>
    </row>
    <row r="157" spans="1:7" x14ac:dyDescent="0.25">
      <c r="A157" s="101"/>
      <c r="B157" s="11" t="s">
        <v>1022</v>
      </c>
      <c r="C157" s="8" t="s">
        <v>167</v>
      </c>
      <c r="D157" s="8" t="str">
        <f t="shared" si="19"/>
        <v>PolarDryFlooded Rice</v>
      </c>
      <c r="E157" s="8" t="str">
        <f>D157&amp;COUNTIF($D$2:D157,D157)</f>
        <v>PolarDryFlooded Rice1</v>
      </c>
      <c r="F157" s="8" t="str">
        <f>HLOOKUP('ESVD - SUMMARY TABLE'!B157,'ESVD - Land Use &amp; Climate Match'!$B$20:$V$21,2,FALSE)</f>
        <v>Rice paddies, etc</v>
      </c>
      <c r="G157" s="8">
        <f>IFERROR(VLOOKUP(F157,'ESVD - Database'!$C$3:$E$112,3,FALSE),0)</f>
        <v>1127</v>
      </c>
    </row>
    <row r="158" spans="1:7" x14ac:dyDescent="0.25">
      <c r="A158" s="101"/>
      <c r="B158" s="11" t="s">
        <v>1030</v>
      </c>
      <c r="C158" s="8" t="s">
        <v>167</v>
      </c>
      <c r="D158" s="8" t="str">
        <f t="shared" si="19"/>
        <v>Polar MountainMoistFlooded Rice</v>
      </c>
      <c r="E158" s="8" t="str">
        <f>D158&amp;COUNTIF($D$2:D158,D158)</f>
        <v>Polar MountainMoistFlooded Rice1</v>
      </c>
      <c r="F158" s="8" t="str">
        <f>HLOOKUP('ESVD - SUMMARY TABLE'!B158,'ESVD - Land Use &amp; Climate Match'!$B$20:$V$21,2,FALSE)</f>
        <v>Rice paddies, etc</v>
      </c>
      <c r="G158" s="8">
        <f>IFERROR(VLOOKUP(F158,'ESVD - Database'!$C$3:$E$112,3,FALSE),0)</f>
        <v>1127</v>
      </c>
    </row>
    <row r="159" spans="1:7" x14ac:dyDescent="0.25">
      <c r="A159" s="101"/>
      <c r="B159" s="11" t="s">
        <v>1031</v>
      </c>
      <c r="C159" s="8" t="s">
        <v>167</v>
      </c>
      <c r="D159" s="8" t="str">
        <f t="shared" si="19"/>
        <v>Polar MountainDryFlooded Rice</v>
      </c>
      <c r="E159" s="8" t="str">
        <f>D159&amp;COUNTIF($D$2:D159,D159)</f>
        <v>Polar MountainDryFlooded Rice1</v>
      </c>
      <c r="F159" s="8" t="str">
        <f>HLOOKUP('ESVD - SUMMARY TABLE'!B159,'ESVD - Land Use &amp; Climate Match'!$B$20:$V$21,2,FALSE)</f>
        <v>Rice paddies, etc</v>
      </c>
      <c r="G159" s="8">
        <f>IFERROR(VLOOKUP(F159,'ESVD - Database'!$C$3:$E$112,3,FALSE),0)</f>
        <v>1127</v>
      </c>
    </row>
    <row r="160" spans="1:7" x14ac:dyDescent="0.25">
      <c r="A160" s="87"/>
      <c r="B160" s="8" t="s">
        <v>643</v>
      </c>
      <c r="C160" s="8" t="s">
        <v>193</v>
      </c>
      <c r="D160" s="8" t="str">
        <f t="shared" si="17"/>
        <v>TropicalWetAgroforestry</v>
      </c>
      <c r="E160" s="8" t="str">
        <f>D160&amp;COUNTIF($D$2:D160,D160)</f>
        <v>TropicalWetAgroforestry1</v>
      </c>
      <c r="F160" s="8" t="str">
        <f>HLOOKUP('ESVD - SUMMARY TABLE'!B160,'ESVD - Land Use &amp; Climate Match'!$B$23:$V$24,2,FALSE)</f>
        <v>Orchards/agro-forestry</v>
      </c>
      <c r="G160" s="8">
        <f>IFERROR(VLOOKUP(F160,'ESVD - Database'!$C$3:$E$112,3,FALSE),0)</f>
        <v>1127</v>
      </c>
    </row>
    <row r="161" spans="1:7" x14ac:dyDescent="0.25">
      <c r="A161" s="87"/>
      <c r="B161" s="8" t="s">
        <v>644</v>
      </c>
      <c r="C161" s="8" t="s">
        <v>193</v>
      </c>
      <c r="D161" s="8" t="str">
        <f t="shared" si="17"/>
        <v>TropicalMoistAgroforestry</v>
      </c>
      <c r="E161" s="8" t="str">
        <f>D161&amp;COUNTIF($D$2:D161,D161)</f>
        <v>TropicalMoistAgroforestry1</v>
      </c>
      <c r="F161" s="8" t="str">
        <f>HLOOKUP('ESVD - SUMMARY TABLE'!B161,'ESVD - Land Use &amp; Climate Match'!$B$23:$V$24,2,FALSE)</f>
        <v>Orchards/agro-forestry</v>
      </c>
      <c r="G161" s="8">
        <f>IFERROR(VLOOKUP(F161,'ESVD - Database'!$C$3:$E$112,3,FALSE),0)</f>
        <v>1127</v>
      </c>
    </row>
    <row r="162" spans="1:7" x14ac:dyDescent="0.25">
      <c r="A162" s="87"/>
      <c r="B162" s="8" t="s">
        <v>645</v>
      </c>
      <c r="C162" s="8" t="s">
        <v>193</v>
      </c>
      <c r="D162" s="8" t="str">
        <f t="shared" si="17"/>
        <v>TropicalDryAgroforestry</v>
      </c>
      <c r="E162" s="8" t="str">
        <f>D162&amp;COUNTIF($D$2:D162,D162)</f>
        <v>TropicalDryAgroforestry1</v>
      </c>
      <c r="F162" s="8" t="str">
        <f>HLOOKUP('ESVD - SUMMARY TABLE'!B162,'ESVD - Land Use &amp; Climate Match'!$B$23:$V$24,2,FALSE)</f>
        <v>Orchards/agro-forestry</v>
      </c>
      <c r="G162" s="8">
        <f>IFERROR(VLOOKUP(F162,'ESVD - Database'!$C$3:$E$112,3,FALSE),0)</f>
        <v>1127</v>
      </c>
    </row>
    <row r="163" spans="1:7" x14ac:dyDescent="0.25">
      <c r="A163" s="87"/>
      <c r="B163" s="8" t="s">
        <v>646</v>
      </c>
      <c r="C163" s="8" t="s">
        <v>193</v>
      </c>
      <c r="D163" s="8" t="str">
        <f t="shared" si="17"/>
        <v>Tropical MountainMoistAgroforestry</v>
      </c>
      <c r="E163" s="8" t="str">
        <f>D163&amp;COUNTIF($D$2:D163,D163)</f>
        <v>Tropical MountainMoistAgroforestry1</v>
      </c>
      <c r="F163" s="8" t="str">
        <f>HLOOKUP('ESVD - SUMMARY TABLE'!B163,'ESVD - Land Use &amp; Climate Match'!$B$23:$V$24,2,FALSE)</f>
        <v>Orchards/agro-forestry</v>
      </c>
      <c r="G163" s="8">
        <f>IFERROR(VLOOKUP(F163,'ESVD - Database'!$C$3:$E$112,3,FALSE),0)</f>
        <v>1127</v>
      </c>
    </row>
    <row r="164" spans="1:7" x14ac:dyDescent="0.25">
      <c r="A164" s="87"/>
      <c r="B164" s="8" t="s">
        <v>647</v>
      </c>
      <c r="C164" s="8" t="s">
        <v>193</v>
      </c>
      <c r="D164" s="8" t="str">
        <f t="shared" si="17"/>
        <v>Tropical MountainDryAgroforestry</v>
      </c>
      <c r="E164" s="8" t="str">
        <f>D164&amp;COUNTIF($D$2:D164,D164)</f>
        <v>Tropical MountainDryAgroforestry1</v>
      </c>
      <c r="F164" s="8" t="str">
        <f>HLOOKUP('ESVD - SUMMARY TABLE'!B164,'ESVD - Land Use &amp; Climate Match'!$B$23:$V$24,2,FALSE)</f>
        <v>Orchards/agro-forestry</v>
      </c>
      <c r="G164" s="8">
        <f>IFERROR(VLOOKUP(F164,'ESVD - Database'!$C$3:$E$112,3,FALSE),0)</f>
        <v>1127</v>
      </c>
    </row>
    <row r="165" spans="1:7" x14ac:dyDescent="0.25">
      <c r="A165" s="87"/>
      <c r="B165" s="8" t="s">
        <v>648</v>
      </c>
      <c r="C165" s="8" t="s">
        <v>193</v>
      </c>
      <c r="D165" s="8" t="str">
        <f t="shared" si="17"/>
        <v>Warm TemperateMoistAgroforestry</v>
      </c>
      <c r="E165" s="8" t="str">
        <f>D165&amp;COUNTIF($D$2:D165,D165)</f>
        <v>Warm TemperateMoistAgroforestry1</v>
      </c>
      <c r="F165" s="8" t="str">
        <f>HLOOKUP('ESVD - SUMMARY TABLE'!B165,'ESVD - Land Use &amp; Climate Match'!$B$23:$V$24,2,FALSE)</f>
        <v>Orchards/agro-forestry</v>
      </c>
      <c r="G165" s="8">
        <f>IFERROR(VLOOKUP(F165,'ESVD - Database'!$C$3:$E$112,3,FALSE),0)</f>
        <v>1127</v>
      </c>
    </row>
    <row r="166" spans="1:7" x14ac:dyDescent="0.25">
      <c r="A166" s="87"/>
      <c r="B166" s="8" t="s">
        <v>649</v>
      </c>
      <c r="C166" s="8" t="s">
        <v>193</v>
      </c>
      <c r="D166" s="8" t="str">
        <f t="shared" si="17"/>
        <v>Warm TemperateDryAgroforestry</v>
      </c>
      <c r="E166" s="8" t="str">
        <f>D166&amp;COUNTIF($D$2:D166,D166)</f>
        <v>Warm TemperateDryAgroforestry1</v>
      </c>
      <c r="F166" s="8" t="str">
        <f>HLOOKUP('ESVD - SUMMARY TABLE'!B166,'ESVD - Land Use &amp; Climate Match'!$B$23:$V$24,2,FALSE)</f>
        <v>Orchards/agro-forestry</v>
      </c>
      <c r="G166" s="8">
        <f>IFERROR(VLOOKUP(F166,'ESVD - Database'!$C$3:$E$112,3,FALSE),0)</f>
        <v>1127</v>
      </c>
    </row>
    <row r="167" spans="1:7" x14ac:dyDescent="0.25">
      <c r="A167" s="87"/>
      <c r="B167" s="11" t="s">
        <v>1024</v>
      </c>
      <c r="C167" s="8" t="s">
        <v>193</v>
      </c>
      <c r="D167" s="8" t="str">
        <f t="shared" ref="D167:D180" si="20">CONCATENATE(B167,C167)</f>
        <v>Warm Temperate MountainMoistAgroforestry</v>
      </c>
      <c r="E167" s="8" t="str">
        <f>D167&amp;COUNTIF($D$2:D167,D167)</f>
        <v>Warm Temperate MountainMoistAgroforestry1</v>
      </c>
      <c r="F167" s="8" t="str">
        <f>HLOOKUP('ESVD - SUMMARY TABLE'!B167,'ESVD - Land Use &amp; Climate Match'!$B$23:$V$24,2,FALSE)</f>
        <v>Orchards/agro-forestry</v>
      </c>
      <c r="G167" s="8">
        <f>IFERROR(VLOOKUP(F167,'ESVD - Database'!$C$3:$E$112,3,FALSE),0)</f>
        <v>1127</v>
      </c>
    </row>
    <row r="168" spans="1:7" x14ac:dyDescent="0.25">
      <c r="A168" s="87"/>
      <c r="B168" s="11" t="s">
        <v>1025</v>
      </c>
      <c r="C168" s="8" t="s">
        <v>193</v>
      </c>
      <c r="D168" s="8" t="str">
        <f t="shared" si="20"/>
        <v>Warm Temperate MountainDryAgroforestry</v>
      </c>
      <c r="E168" s="8" t="str">
        <f>D168&amp;COUNTIF($D$2:D168,D168)</f>
        <v>Warm Temperate MountainDryAgroforestry1</v>
      </c>
      <c r="F168" s="8" t="str">
        <f>HLOOKUP('ESVD - SUMMARY TABLE'!B168,'ESVD - Land Use &amp; Climate Match'!$B$23:$V$24,2,FALSE)</f>
        <v>Orchards/agro-forestry</v>
      </c>
      <c r="G168" s="8">
        <f>IFERROR(VLOOKUP(F168,'ESVD - Database'!$C$3:$E$112,3,FALSE),0)</f>
        <v>1127</v>
      </c>
    </row>
    <row r="169" spans="1:7" x14ac:dyDescent="0.25">
      <c r="A169" s="87"/>
      <c r="B169" s="8" t="s">
        <v>650</v>
      </c>
      <c r="C169" s="8" t="s">
        <v>193</v>
      </c>
      <c r="D169" s="8" t="str">
        <f t="shared" si="20"/>
        <v>Cool TemperateMoistAgroforestry</v>
      </c>
      <c r="E169" s="8" t="str">
        <f>D169&amp;COUNTIF($D$2:D169,D169)</f>
        <v>Cool TemperateMoistAgroforestry1</v>
      </c>
      <c r="F169" s="8" t="str">
        <f>HLOOKUP('ESVD - SUMMARY TABLE'!B169,'ESVD - Land Use &amp; Climate Match'!$B$23:$V$24,2,FALSE)</f>
        <v>Orchards/agro-forestry</v>
      </c>
      <c r="G169" s="8">
        <f>IFERROR(VLOOKUP(F169,'ESVD - Database'!$C$3:$E$112,3,FALSE),0)</f>
        <v>1127</v>
      </c>
    </row>
    <row r="170" spans="1:7" x14ac:dyDescent="0.25">
      <c r="A170" s="87"/>
      <c r="B170" s="8" t="s">
        <v>651</v>
      </c>
      <c r="C170" s="8" t="s">
        <v>193</v>
      </c>
      <c r="D170" s="8" t="str">
        <f t="shared" si="20"/>
        <v>Cool TemperateDryAgroforestry</v>
      </c>
      <c r="E170" s="8" t="str">
        <f>D170&amp;COUNTIF($D$2:D170,D170)</f>
        <v>Cool TemperateDryAgroforestry1</v>
      </c>
      <c r="F170" s="8" t="str">
        <f>HLOOKUP('ESVD - SUMMARY TABLE'!B170,'ESVD - Land Use &amp; Climate Match'!$B$23:$V$24,2,FALSE)</f>
        <v>Orchards/agro-forestry</v>
      </c>
      <c r="G170" s="8">
        <f>IFERROR(VLOOKUP(F170,'ESVD - Database'!$C$3:$E$112,3,FALSE),0)</f>
        <v>1127</v>
      </c>
    </row>
    <row r="171" spans="1:7" x14ac:dyDescent="0.25">
      <c r="A171" s="87"/>
      <c r="B171" s="11" t="s">
        <v>1026</v>
      </c>
      <c r="C171" s="8" t="s">
        <v>193</v>
      </c>
      <c r="D171" s="8" t="str">
        <f t="shared" si="20"/>
        <v>Cool Temperate MountainMoistAgroforestry</v>
      </c>
      <c r="E171" s="8" t="str">
        <f>D171&amp;COUNTIF($D$2:D171,D171)</f>
        <v>Cool Temperate MountainMoistAgroforestry1</v>
      </c>
      <c r="F171" s="8" t="str">
        <f>HLOOKUP('ESVD - SUMMARY TABLE'!B171,'ESVD - Land Use &amp; Climate Match'!$B$23:$V$24,2,FALSE)</f>
        <v>Orchards/agro-forestry</v>
      </c>
      <c r="G171" s="8">
        <f>IFERROR(VLOOKUP(F171,'ESVD - Database'!$C$3:$E$112,3,FALSE),0)</f>
        <v>1127</v>
      </c>
    </row>
    <row r="172" spans="1:7" x14ac:dyDescent="0.25">
      <c r="A172" s="87"/>
      <c r="B172" s="11" t="s">
        <v>1027</v>
      </c>
      <c r="C172" s="8" t="s">
        <v>193</v>
      </c>
      <c r="D172" s="8" t="str">
        <f t="shared" si="20"/>
        <v>Cool Temperate MountainDryAgroforestry</v>
      </c>
      <c r="E172" s="8" t="str">
        <f>D172&amp;COUNTIF($D$2:D172,D172)</f>
        <v>Cool Temperate MountainDryAgroforestry1</v>
      </c>
      <c r="F172" s="8" t="str">
        <f>HLOOKUP('ESVD - SUMMARY TABLE'!B172,'ESVD - Land Use &amp; Climate Match'!$B$23:$V$24,2,FALSE)</f>
        <v>Orchards/agro-forestry</v>
      </c>
      <c r="G172" s="8">
        <f>IFERROR(VLOOKUP(F172,'ESVD - Database'!$C$3:$E$112,3,FALSE),0)</f>
        <v>1127</v>
      </c>
    </row>
    <row r="173" spans="1:7" x14ac:dyDescent="0.25">
      <c r="A173" s="87"/>
      <c r="B173" s="8" t="s">
        <v>652</v>
      </c>
      <c r="C173" s="8" t="s">
        <v>193</v>
      </c>
      <c r="D173" s="8" t="str">
        <f t="shared" si="20"/>
        <v>BorealMoistAgroforestry</v>
      </c>
      <c r="E173" s="8" t="str">
        <f>D173&amp;COUNTIF($D$2:D173,D173)</f>
        <v>BorealMoistAgroforestry1</v>
      </c>
      <c r="F173" s="8" t="str">
        <f>HLOOKUP('ESVD - SUMMARY TABLE'!B173,'ESVD - Land Use &amp; Climate Match'!$B$23:$V$24,2,FALSE)</f>
        <v>Orchards/agro-forestry</v>
      </c>
      <c r="G173" s="8">
        <f>IFERROR(VLOOKUP(F173,'ESVD - Database'!$C$3:$E$112,3,FALSE),0)</f>
        <v>1127</v>
      </c>
    </row>
    <row r="174" spans="1:7" x14ac:dyDescent="0.25">
      <c r="A174" s="87"/>
      <c r="B174" s="8" t="s">
        <v>653</v>
      </c>
      <c r="C174" s="8" t="s">
        <v>193</v>
      </c>
      <c r="D174" s="8" t="str">
        <f t="shared" si="20"/>
        <v>BorealDryAgroforestry</v>
      </c>
      <c r="E174" s="8" t="str">
        <f>D174&amp;COUNTIF($D$2:D174,D174)</f>
        <v>BorealDryAgroforestry1</v>
      </c>
      <c r="F174" s="8" t="str">
        <f>HLOOKUP('ESVD - SUMMARY TABLE'!B174,'ESVD - Land Use &amp; Climate Match'!$B$23:$V$24,2,FALSE)</f>
        <v>Orchards/agro-forestry</v>
      </c>
      <c r="G174" s="8">
        <f>IFERROR(VLOOKUP(F174,'ESVD - Database'!$C$3:$E$112,3,FALSE),0)</f>
        <v>1127</v>
      </c>
    </row>
    <row r="175" spans="1:7" x14ac:dyDescent="0.25">
      <c r="A175" s="87"/>
      <c r="B175" s="11" t="s">
        <v>1028</v>
      </c>
      <c r="C175" s="8" t="s">
        <v>193</v>
      </c>
      <c r="D175" s="8" t="str">
        <f t="shared" si="20"/>
        <v>Boreal MountainMoistAgroforestry</v>
      </c>
      <c r="E175" s="8" t="str">
        <f>D175&amp;COUNTIF($D$2:D175,D175)</f>
        <v>Boreal MountainMoistAgroforestry1</v>
      </c>
      <c r="F175" s="8" t="str">
        <f>HLOOKUP('ESVD - SUMMARY TABLE'!B175,'ESVD - Land Use &amp; Climate Match'!$B$23:$V$24,2,FALSE)</f>
        <v>Orchards/agro-forestry</v>
      </c>
      <c r="G175" s="8">
        <f>IFERROR(VLOOKUP(F175,'ESVD - Database'!$C$3:$E$112,3,FALSE),0)</f>
        <v>1127</v>
      </c>
    </row>
    <row r="176" spans="1:7" x14ac:dyDescent="0.25">
      <c r="A176" s="87"/>
      <c r="B176" s="11" t="s">
        <v>1029</v>
      </c>
      <c r="C176" s="8" t="s">
        <v>193</v>
      </c>
      <c r="D176" s="8" t="str">
        <f t="shared" si="20"/>
        <v>Boreal MountainDryAgroforestry</v>
      </c>
      <c r="E176" s="8" t="str">
        <f>D176&amp;COUNTIF($D$2:D176,D176)</f>
        <v>Boreal MountainDryAgroforestry1</v>
      </c>
      <c r="F176" s="8" t="str">
        <f>HLOOKUP('ESVD - SUMMARY TABLE'!B176,'ESVD - Land Use &amp; Climate Match'!$B$23:$V$24,2,FALSE)</f>
        <v>Orchards/agro-forestry</v>
      </c>
      <c r="G176" s="8">
        <f>IFERROR(VLOOKUP(F176,'ESVD - Database'!$C$3:$E$112,3,FALSE),0)</f>
        <v>1127</v>
      </c>
    </row>
    <row r="177" spans="1:7" x14ac:dyDescent="0.25">
      <c r="A177" s="87"/>
      <c r="B177" s="11" t="s">
        <v>1023</v>
      </c>
      <c r="C177" s="8" t="s">
        <v>193</v>
      </c>
      <c r="D177" s="8" t="str">
        <f t="shared" si="20"/>
        <v>PolarMoistAgroforestry</v>
      </c>
      <c r="E177" s="8" t="str">
        <f>D177&amp;COUNTIF($D$2:D177,D177)</f>
        <v>PolarMoistAgroforestry1</v>
      </c>
      <c r="F177" s="8" t="str">
        <f>HLOOKUP('ESVD - SUMMARY TABLE'!B177,'ESVD - Land Use &amp; Climate Match'!$B$23:$V$24,2,FALSE)</f>
        <v>Orchards/agro-forestry</v>
      </c>
      <c r="G177" s="8">
        <f>IFERROR(VLOOKUP(F177,'ESVD - Database'!$C$3:$E$112,3,FALSE),0)</f>
        <v>1127</v>
      </c>
    </row>
    <row r="178" spans="1:7" x14ac:dyDescent="0.25">
      <c r="A178" s="87"/>
      <c r="B178" s="11" t="s">
        <v>1022</v>
      </c>
      <c r="C178" s="8" t="s">
        <v>193</v>
      </c>
      <c r="D178" s="8" t="str">
        <f t="shared" si="20"/>
        <v>PolarDryAgroforestry</v>
      </c>
      <c r="E178" s="8" t="str">
        <f>D178&amp;COUNTIF($D$2:D178,D178)</f>
        <v>PolarDryAgroforestry1</v>
      </c>
      <c r="F178" s="8" t="str">
        <f>HLOOKUP('ESVD - SUMMARY TABLE'!B178,'ESVD - Land Use &amp; Climate Match'!$B$23:$V$24,2,FALSE)</f>
        <v>Orchards/agro-forestry</v>
      </c>
      <c r="G178" s="8">
        <f>IFERROR(VLOOKUP(F178,'ESVD - Database'!$C$3:$E$112,3,FALSE),0)</f>
        <v>1127</v>
      </c>
    </row>
    <row r="179" spans="1:7" x14ac:dyDescent="0.25">
      <c r="A179" s="87"/>
      <c r="B179" s="11" t="s">
        <v>1030</v>
      </c>
      <c r="C179" s="8" t="s">
        <v>193</v>
      </c>
      <c r="D179" s="8" t="str">
        <f t="shared" si="20"/>
        <v>Polar MountainMoistAgroforestry</v>
      </c>
      <c r="E179" s="8" t="str">
        <f>D179&amp;COUNTIF($D$2:D179,D179)</f>
        <v>Polar MountainMoistAgroforestry1</v>
      </c>
      <c r="F179" s="8" t="str">
        <f>HLOOKUP('ESVD - SUMMARY TABLE'!B179,'ESVD - Land Use &amp; Climate Match'!$B$23:$V$24,2,FALSE)</f>
        <v>Orchards/agro-forestry</v>
      </c>
      <c r="G179" s="8">
        <f>IFERROR(VLOOKUP(F179,'ESVD - Database'!$C$3:$E$112,3,FALSE),0)</f>
        <v>1127</v>
      </c>
    </row>
    <row r="180" spans="1:7" x14ac:dyDescent="0.25">
      <c r="A180" s="87"/>
      <c r="B180" s="11" t="s">
        <v>1031</v>
      </c>
      <c r="C180" s="8" t="s">
        <v>193</v>
      </c>
      <c r="D180" s="8" t="str">
        <f t="shared" si="20"/>
        <v>Polar MountainDryAgroforestry</v>
      </c>
      <c r="E180" s="8" t="str">
        <f>D180&amp;COUNTIF($D$2:D180,D180)</f>
        <v>Polar MountainDryAgroforestry1</v>
      </c>
      <c r="F180" s="8" t="str">
        <f>HLOOKUP('ESVD - SUMMARY TABLE'!B180,'ESVD - Land Use &amp; Climate Match'!$B$23:$V$24,2,FALSE)</f>
        <v>Orchards/agro-forestry</v>
      </c>
      <c r="G180" s="8">
        <f>IFERROR(VLOOKUP(F180,'ESVD - Database'!$C$3:$E$112,3,FALSE),0)</f>
        <v>1127</v>
      </c>
    </row>
    <row r="181" spans="1:7" x14ac:dyDescent="0.25">
      <c r="A181" s="102"/>
      <c r="B181" s="8" t="s">
        <v>643</v>
      </c>
      <c r="C181" s="8" t="s">
        <v>235</v>
      </c>
      <c r="D181" s="8" t="str">
        <f t="shared" si="17"/>
        <v>TropicalWetSet-Aside Land</v>
      </c>
      <c r="E181" s="8" t="str">
        <f>D181&amp;COUNTIF($D$2:D181,D181)</f>
        <v>TropicalWetSet-Aside Land1</v>
      </c>
      <c r="F181" s="8" t="str">
        <f>HLOOKUP('ESVD - SUMMARY TABLE'!B181,'ESVD - Land Use &amp; Climate Match'!$B$26:$V$28,2,FALSE)</f>
        <v>AVERAGE(CROPLAND, GRASSLAND)</v>
      </c>
      <c r="G181" s="8">
        <f>AVERAGE(VLOOKUP(B181,$B$118:$G$138,6,FALSE),VLOOKUP(B181,$B$69:$G$117,6,FALSE))</f>
        <v>1127</v>
      </c>
    </row>
    <row r="182" spans="1:7" x14ac:dyDescent="0.25">
      <c r="A182" s="102"/>
      <c r="B182" s="8" t="s">
        <v>644</v>
      </c>
      <c r="C182" s="8" t="s">
        <v>235</v>
      </c>
      <c r="D182" s="8" t="str">
        <f t="shared" si="17"/>
        <v>TropicalMoistSet-Aside Land</v>
      </c>
      <c r="E182" s="8" t="str">
        <f>D182&amp;COUNTIF($D$2:D182,D182)</f>
        <v>TropicalMoistSet-Aside Land1</v>
      </c>
      <c r="F182" s="8" t="str">
        <f>HLOOKUP('ESVD - SUMMARY TABLE'!B182,'ESVD - Land Use &amp; Climate Match'!$B$26:$V$28,2,FALSE)</f>
        <v>AVERAGE(CROPLAND, GRASSLAND)</v>
      </c>
      <c r="G182" s="8">
        <f t="shared" ref="G182:G201" si="21">AVERAGE(VLOOKUP(B182,$B$118:$G$138,6,FALSE),VLOOKUP(B182,$B$69:$G$117,6,FALSE))</f>
        <v>1127</v>
      </c>
    </row>
    <row r="183" spans="1:7" x14ac:dyDescent="0.25">
      <c r="A183" s="102"/>
      <c r="B183" s="8" t="s">
        <v>645</v>
      </c>
      <c r="C183" s="8" t="s">
        <v>235</v>
      </c>
      <c r="D183" s="8" t="str">
        <f t="shared" si="17"/>
        <v>TropicalDrySet-Aside Land</v>
      </c>
      <c r="E183" s="8" t="str">
        <f>D183&amp;COUNTIF($D$2:D183,D183)</f>
        <v>TropicalDrySet-Aside Land1</v>
      </c>
      <c r="F183" s="8" t="str">
        <f>HLOOKUP('ESVD - SUMMARY TABLE'!B183,'ESVD - Land Use &amp; Climate Match'!$B$26:$V$28,2,FALSE)</f>
        <v>AVERAGE(CROPLAND, GRASSLAND)</v>
      </c>
      <c r="G183" s="8">
        <f t="shared" si="21"/>
        <v>1127</v>
      </c>
    </row>
    <row r="184" spans="1:7" x14ac:dyDescent="0.25">
      <c r="A184" s="102"/>
      <c r="B184" s="8" t="s">
        <v>646</v>
      </c>
      <c r="C184" s="8" t="s">
        <v>235</v>
      </c>
      <c r="D184" s="8" t="str">
        <f t="shared" si="17"/>
        <v>Tropical MountainMoistSet-Aside Land</v>
      </c>
      <c r="E184" s="8" t="str">
        <f>D184&amp;COUNTIF($D$2:D184,D184)</f>
        <v>Tropical MountainMoistSet-Aside Land1</v>
      </c>
      <c r="F184" s="8" t="str">
        <f>HLOOKUP('ESVD - SUMMARY TABLE'!B184,'ESVD - Land Use &amp; Climate Match'!$B$26:$V$28,2,FALSE)</f>
        <v>AVERAGE(CROPLAND, GRASSLAND)</v>
      </c>
      <c r="G184" s="8">
        <f t="shared" si="21"/>
        <v>1127</v>
      </c>
    </row>
    <row r="185" spans="1:7" x14ac:dyDescent="0.25">
      <c r="A185" s="102"/>
      <c r="B185" s="8" t="s">
        <v>647</v>
      </c>
      <c r="C185" s="8" t="s">
        <v>235</v>
      </c>
      <c r="D185" s="8" t="str">
        <f t="shared" si="17"/>
        <v>Tropical MountainDrySet-Aside Land</v>
      </c>
      <c r="E185" s="8" t="str">
        <f>D185&amp;COUNTIF($D$2:D185,D185)</f>
        <v>Tropical MountainDrySet-Aside Land1</v>
      </c>
      <c r="F185" s="8" t="str">
        <f>HLOOKUP('ESVD - SUMMARY TABLE'!B185,'ESVD - Land Use &amp; Climate Match'!$B$26:$V$28,2,FALSE)</f>
        <v>AVERAGE(CROPLAND, GRASSLAND)</v>
      </c>
      <c r="G185" s="8">
        <f t="shared" si="21"/>
        <v>1127</v>
      </c>
    </row>
    <row r="186" spans="1:7" x14ac:dyDescent="0.25">
      <c r="A186" s="102"/>
      <c r="B186" s="8" t="s">
        <v>648</v>
      </c>
      <c r="C186" s="8" t="s">
        <v>235</v>
      </c>
      <c r="D186" s="8" t="str">
        <f t="shared" si="17"/>
        <v>Warm TemperateMoistSet-Aside Land</v>
      </c>
      <c r="E186" s="8" t="str">
        <f>D186&amp;COUNTIF($D$2:D186,D186)</f>
        <v>Warm TemperateMoistSet-Aside Land1</v>
      </c>
      <c r="F186" s="8" t="str">
        <f>HLOOKUP('ESVD - SUMMARY TABLE'!B186,'ESVD - Land Use &amp; Climate Match'!$B$26:$V$28,2,FALSE)</f>
        <v>AVERAGE(CROPLAND, GRASSLAND)</v>
      </c>
      <c r="G186" s="8">
        <f t="shared" si="21"/>
        <v>1127</v>
      </c>
    </row>
    <row r="187" spans="1:7" x14ac:dyDescent="0.25">
      <c r="A187" s="102"/>
      <c r="B187" s="8" t="s">
        <v>649</v>
      </c>
      <c r="C187" s="8" t="s">
        <v>235</v>
      </c>
      <c r="D187" s="8" t="str">
        <f t="shared" si="17"/>
        <v>Warm TemperateDrySet-Aside Land</v>
      </c>
      <c r="E187" s="8" t="str">
        <f>D187&amp;COUNTIF($D$2:D187,D187)</f>
        <v>Warm TemperateDrySet-Aside Land1</v>
      </c>
      <c r="F187" s="8" t="str">
        <f>HLOOKUP('ESVD - SUMMARY TABLE'!B187,'ESVD - Land Use &amp; Climate Match'!$B$26:$V$28,2,FALSE)</f>
        <v>AVERAGE(CROPLAND, GRASSLAND)</v>
      </c>
      <c r="G187" s="8">
        <f t="shared" si="21"/>
        <v>1127</v>
      </c>
    </row>
    <row r="188" spans="1:7" x14ac:dyDescent="0.25">
      <c r="A188" s="102"/>
      <c r="B188" s="11" t="s">
        <v>1024</v>
      </c>
      <c r="C188" s="8" t="s">
        <v>235</v>
      </c>
      <c r="D188" s="8" t="str">
        <f t="shared" ref="D188:D201" si="22">CONCATENATE(B188,C188)</f>
        <v>Warm Temperate MountainMoistSet-Aside Land</v>
      </c>
      <c r="E188" s="8" t="str">
        <f>D188&amp;COUNTIF($D$2:D188,D188)</f>
        <v>Warm Temperate MountainMoistSet-Aside Land1</v>
      </c>
      <c r="F188" s="8" t="str">
        <f>HLOOKUP('ESVD - SUMMARY TABLE'!B188,'ESVD - Land Use &amp; Climate Match'!$B$26:$V$28,2,FALSE)</f>
        <v>AVERAGE(CROPLAND, GRASSLAND)</v>
      </c>
      <c r="G188" s="8">
        <f t="shared" si="21"/>
        <v>1127</v>
      </c>
    </row>
    <row r="189" spans="1:7" x14ac:dyDescent="0.25">
      <c r="A189" s="102"/>
      <c r="B189" s="11" t="s">
        <v>1025</v>
      </c>
      <c r="C189" s="8" t="s">
        <v>235</v>
      </c>
      <c r="D189" s="8" t="str">
        <f t="shared" si="22"/>
        <v>Warm Temperate MountainDrySet-Aside Land</v>
      </c>
      <c r="E189" s="8" t="str">
        <f>D189&amp;COUNTIF($D$2:D189,D189)</f>
        <v>Warm Temperate MountainDrySet-Aside Land1</v>
      </c>
      <c r="F189" s="8" t="str">
        <f>HLOOKUP('ESVD - SUMMARY TABLE'!B189,'ESVD - Land Use &amp; Climate Match'!$B$26:$V$28,2,FALSE)</f>
        <v>AVERAGE(CROPLAND, GRASSLAND)</v>
      </c>
      <c r="G189" s="8">
        <f t="shared" si="21"/>
        <v>1127</v>
      </c>
    </row>
    <row r="190" spans="1:7" x14ac:dyDescent="0.25">
      <c r="A190" s="102"/>
      <c r="B190" s="8" t="s">
        <v>650</v>
      </c>
      <c r="C190" s="8" t="s">
        <v>235</v>
      </c>
      <c r="D190" s="8" t="str">
        <f t="shared" si="22"/>
        <v>Cool TemperateMoistSet-Aside Land</v>
      </c>
      <c r="E190" s="8" t="str">
        <f>D190&amp;COUNTIF($D$2:D190,D190)</f>
        <v>Cool TemperateMoistSet-Aside Land1</v>
      </c>
      <c r="F190" s="8" t="str">
        <f>HLOOKUP('ESVD - SUMMARY TABLE'!B190,'ESVD - Land Use &amp; Climate Match'!$B$26:$V$28,2,FALSE)</f>
        <v>AVERAGE(CROPLAND, GRASSLAND)</v>
      </c>
      <c r="G190" s="8">
        <f t="shared" si="21"/>
        <v>1127</v>
      </c>
    </row>
    <row r="191" spans="1:7" x14ac:dyDescent="0.25">
      <c r="A191" s="102"/>
      <c r="B191" s="8" t="s">
        <v>651</v>
      </c>
      <c r="C191" s="8" t="s">
        <v>235</v>
      </c>
      <c r="D191" s="8" t="str">
        <f t="shared" si="22"/>
        <v>Cool TemperateDrySet-Aside Land</v>
      </c>
      <c r="E191" s="8" t="str">
        <f>D191&amp;COUNTIF($D$2:D191,D191)</f>
        <v>Cool TemperateDrySet-Aside Land1</v>
      </c>
      <c r="F191" s="8" t="str">
        <f>HLOOKUP('ESVD - SUMMARY TABLE'!B191,'ESVD - Land Use &amp; Climate Match'!$B$26:$V$28,2,FALSE)</f>
        <v>AVERAGE(CROPLAND, GRASSLAND)</v>
      </c>
      <c r="G191" s="8">
        <f t="shared" si="21"/>
        <v>1127</v>
      </c>
    </row>
    <row r="192" spans="1:7" x14ac:dyDescent="0.25">
      <c r="A192" s="102"/>
      <c r="B192" s="11" t="s">
        <v>1026</v>
      </c>
      <c r="C192" s="8" t="s">
        <v>235</v>
      </c>
      <c r="D192" s="8" t="str">
        <f t="shared" si="22"/>
        <v>Cool Temperate MountainMoistSet-Aside Land</v>
      </c>
      <c r="E192" s="8" t="str">
        <f>D192&amp;COUNTIF($D$2:D192,D192)</f>
        <v>Cool Temperate MountainMoistSet-Aside Land1</v>
      </c>
      <c r="F192" s="8" t="str">
        <f>HLOOKUP('ESVD - SUMMARY TABLE'!B192,'ESVD - Land Use &amp; Climate Match'!$B$26:$V$28,2,FALSE)</f>
        <v>AVERAGE(CROPLAND, GRASSLAND)</v>
      </c>
      <c r="G192" s="8">
        <f t="shared" si="21"/>
        <v>1127</v>
      </c>
    </row>
    <row r="193" spans="1:7" x14ac:dyDescent="0.25">
      <c r="A193" s="102"/>
      <c r="B193" s="11" t="s">
        <v>1027</v>
      </c>
      <c r="C193" s="8" t="s">
        <v>235</v>
      </c>
      <c r="D193" s="8" t="str">
        <f t="shared" si="22"/>
        <v>Cool Temperate MountainDrySet-Aside Land</v>
      </c>
      <c r="E193" s="8" t="str">
        <f>D193&amp;COUNTIF($D$2:D193,D193)</f>
        <v>Cool Temperate MountainDrySet-Aside Land1</v>
      </c>
      <c r="F193" s="8" t="str">
        <f>HLOOKUP('ESVD - SUMMARY TABLE'!B193,'ESVD - Land Use &amp; Climate Match'!$B$26:$V$28,2,FALSE)</f>
        <v>AVERAGE(CROPLAND, GRASSLAND)</v>
      </c>
      <c r="G193" s="8">
        <f t="shared" si="21"/>
        <v>1127</v>
      </c>
    </row>
    <row r="194" spans="1:7" x14ac:dyDescent="0.25">
      <c r="A194" s="102"/>
      <c r="B194" s="8" t="s">
        <v>652</v>
      </c>
      <c r="C194" s="8" t="s">
        <v>235</v>
      </c>
      <c r="D194" s="8" t="str">
        <f t="shared" si="22"/>
        <v>BorealMoistSet-Aside Land</v>
      </c>
      <c r="E194" s="8" t="str">
        <f>D194&amp;COUNTIF($D$2:D194,D194)</f>
        <v>BorealMoistSet-Aside Land1</v>
      </c>
      <c r="F194" s="8" t="str">
        <f>HLOOKUP('ESVD - SUMMARY TABLE'!B194,'ESVD - Land Use &amp; Climate Match'!$B$26:$V$28,2,FALSE)</f>
        <v>AVERAGE(CROPLAND, GRASSLAND)</v>
      </c>
      <c r="G194" s="8">
        <f t="shared" si="21"/>
        <v>1127</v>
      </c>
    </row>
    <row r="195" spans="1:7" x14ac:dyDescent="0.25">
      <c r="A195" s="102"/>
      <c r="B195" s="8" t="s">
        <v>653</v>
      </c>
      <c r="C195" s="8" t="s">
        <v>235</v>
      </c>
      <c r="D195" s="8" t="str">
        <f t="shared" si="22"/>
        <v>BorealDrySet-Aside Land</v>
      </c>
      <c r="E195" s="8" t="str">
        <f>D195&amp;COUNTIF($D$2:D195,D195)</f>
        <v>BorealDrySet-Aside Land1</v>
      </c>
      <c r="F195" s="8" t="str">
        <f>HLOOKUP('ESVD - SUMMARY TABLE'!B195,'ESVD - Land Use &amp; Climate Match'!$B$26:$V$28,2,FALSE)</f>
        <v>AVERAGE(CROPLAND, GRASSLAND)</v>
      </c>
      <c r="G195" s="8">
        <f t="shared" si="21"/>
        <v>1127</v>
      </c>
    </row>
    <row r="196" spans="1:7" x14ac:dyDescent="0.25">
      <c r="A196" s="102"/>
      <c r="B196" s="11" t="s">
        <v>1028</v>
      </c>
      <c r="C196" s="8" t="s">
        <v>235</v>
      </c>
      <c r="D196" s="8" t="str">
        <f t="shared" si="22"/>
        <v>Boreal MountainMoistSet-Aside Land</v>
      </c>
      <c r="E196" s="8" t="str">
        <f>D196&amp;COUNTIF($D$2:D196,D196)</f>
        <v>Boreal MountainMoistSet-Aside Land1</v>
      </c>
      <c r="F196" s="8" t="str">
        <f>HLOOKUP('ESVD - SUMMARY TABLE'!B196,'ESVD - Land Use &amp; Climate Match'!$B$26:$V$28,2,FALSE)</f>
        <v>AVERAGE(CROPLAND, GRASSLAND)</v>
      </c>
      <c r="G196" s="8">
        <f t="shared" si="21"/>
        <v>1127</v>
      </c>
    </row>
    <row r="197" spans="1:7" x14ac:dyDescent="0.25">
      <c r="A197" s="102"/>
      <c r="B197" s="11" t="s">
        <v>1029</v>
      </c>
      <c r="C197" s="8" t="s">
        <v>235</v>
      </c>
      <c r="D197" s="8" t="str">
        <f t="shared" si="22"/>
        <v>Boreal MountainDrySet-Aside Land</v>
      </c>
      <c r="E197" s="8" t="str">
        <f>D197&amp;COUNTIF($D$2:D197,D197)</f>
        <v>Boreal MountainDrySet-Aside Land1</v>
      </c>
      <c r="F197" s="8" t="str">
        <f>HLOOKUP('ESVD - SUMMARY TABLE'!B197,'ESVD - Land Use &amp; Climate Match'!$B$26:$V$28,2,FALSE)</f>
        <v>AVERAGE(CROPLAND, GRASSLAND)</v>
      </c>
      <c r="G197" s="8">
        <f t="shared" si="21"/>
        <v>1127</v>
      </c>
    </row>
    <row r="198" spans="1:7" x14ac:dyDescent="0.25">
      <c r="A198" s="102"/>
      <c r="B198" s="11" t="s">
        <v>1023</v>
      </c>
      <c r="C198" s="8" t="s">
        <v>235</v>
      </c>
      <c r="D198" s="8" t="str">
        <f t="shared" si="22"/>
        <v>PolarMoistSet-Aside Land</v>
      </c>
      <c r="E198" s="8" t="str">
        <f>D198&amp;COUNTIF($D$2:D198,D198)</f>
        <v>PolarMoistSet-Aside Land1</v>
      </c>
      <c r="F198" s="8" t="str">
        <f>HLOOKUP('ESVD - SUMMARY TABLE'!B198,'ESVD - Land Use &amp; Climate Match'!$B$26:$V$28,2,FALSE)</f>
        <v>AVERAGE(CROPLAND, GRASSLAND)</v>
      </c>
      <c r="G198" s="8">
        <f t="shared" si="21"/>
        <v>1127</v>
      </c>
    </row>
    <row r="199" spans="1:7" x14ac:dyDescent="0.25">
      <c r="A199" s="102"/>
      <c r="B199" s="11" t="s">
        <v>1022</v>
      </c>
      <c r="C199" s="8" t="s">
        <v>235</v>
      </c>
      <c r="D199" s="8" t="str">
        <f t="shared" si="22"/>
        <v>PolarDrySet-Aside Land</v>
      </c>
      <c r="E199" s="8" t="str">
        <f>D199&amp;COUNTIF($D$2:D199,D199)</f>
        <v>PolarDrySet-Aside Land1</v>
      </c>
      <c r="F199" s="8" t="str">
        <f>HLOOKUP('ESVD - SUMMARY TABLE'!B199,'ESVD - Land Use &amp; Climate Match'!$B$26:$V$28,2,FALSE)</f>
        <v>AVERAGE(CROPLAND, GRASSLAND)</v>
      </c>
      <c r="G199" s="8">
        <f t="shared" si="21"/>
        <v>1127</v>
      </c>
    </row>
    <row r="200" spans="1:7" x14ac:dyDescent="0.25">
      <c r="A200" s="102"/>
      <c r="B200" s="11" t="s">
        <v>1030</v>
      </c>
      <c r="C200" s="8" t="s">
        <v>235</v>
      </c>
      <c r="D200" s="8" t="str">
        <f t="shared" si="22"/>
        <v>Polar MountainMoistSet-Aside Land</v>
      </c>
      <c r="E200" s="8" t="str">
        <f>D200&amp;COUNTIF($D$2:D200,D200)</f>
        <v>Polar MountainMoistSet-Aside Land1</v>
      </c>
      <c r="F200" s="8" t="str">
        <f>HLOOKUP('ESVD - SUMMARY TABLE'!B200,'ESVD - Land Use &amp; Climate Match'!$B$26:$V$28,2,FALSE)</f>
        <v>AVERAGE(CROPLAND, GRASSLAND)</v>
      </c>
      <c r="G200" s="8">
        <f t="shared" si="21"/>
        <v>1127</v>
      </c>
    </row>
    <row r="201" spans="1:7" x14ac:dyDescent="0.25">
      <c r="A201" s="102"/>
      <c r="B201" s="11" t="s">
        <v>1031</v>
      </c>
      <c r="C201" s="8" t="s">
        <v>235</v>
      </c>
      <c r="D201" s="8" t="str">
        <f t="shared" si="22"/>
        <v>Polar MountainDrySet-Aside Land</v>
      </c>
      <c r="E201" s="8" t="str">
        <f>D201&amp;COUNTIF($D$2:D201,D201)</f>
        <v>Polar MountainDrySet-Aside Land1</v>
      </c>
      <c r="F201" s="8" t="str">
        <f>HLOOKUP('ESVD - SUMMARY TABLE'!B201,'ESVD - Land Use &amp; Climate Match'!$B$26:$V$28,2,FALSE)</f>
        <v>AVERAGE(CROPLAND, GRASSLAND)</v>
      </c>
      <c r="G201" s="8">
        <f t="shared" si="21"/>
        <v>1127</v>
      </c>
    </row>
    <row r="202" spans="1:7" x14ac:dyDescent="0.25">
      <c r="A202" s="103"/>
      <c r="B202" s="8" t="s">
        <v>643</v>
      </c>
      <c r="C202" s="8" t="s">
        <v>168</v>
      </c>
      <c r="D202" s="8" t="str">
        <f t="shared" si="17"/>
        <v>TropicalWetDegraded Land</v>
      </c>
      <c r="E202" s="8" t="str">
        <f>D202&amp;COUNTIF($D$2:D202,D202)</f>
        <v>TropicalWetDegraded Land1</v>
      </c>
      <c r="F202" s="8" t="str">
        <f>HLOOKUP('ESVD - SUMMARY TABLE'!B202,'ESVD - Land Use &amp; Climate Match'!$B$29:$V$31,2,FALSE)</f>
        <v>NA</v>
      </c>
      <c r="G202" s="8">
        <f>IFERROR(VLOOKUP(F202,'ESVD - Database'!$C$3:$E$112,3,FALSE),0)</f>
        <v>0</v>
      </c>
    </row>
    <row r="203" spans="1:7" x14ac:dyDescent="0.25">
      <c r="A203" s="103"/>
      <c r="B203" s="8" t="s">
        <v>644</v>
      </c>
      <c r="C203" s="8" t="s">
        <v>168</v>
      </c>
      <c r="D203" s="8" t="str">
        <f t="shared" ref="D203:D221" si="23">CONCATENATE(B203,C203)</f>
        <v>TropicalMoistDegraded Land</v>
      </c>
      <c r="E203" s="8" t="str">
        <f>D203&amp;COUNTIF($D$2:D203,D203)</f>
        <v>TropicalMoistDegraded Land1</v>
      </c>
      <c r="F203" s="8" t="str">
        <f>HLOOKUP('ESVD - SUMMARY TABLE'!B203,'ESVD - Land Use &amp; Climate Match'!$B$29:$V$31,2,FALSE)</f>
        <v>NA</v>
      </c>
      <c r="G203" s="8">
        <f>IFERROR(VLOOKUP(F203,'ESVD - Database'!$C$3:$E$112,3,FALSE),0)</f>
        <v>0</v>
      </c>
    </row>
    <row r="204" spans="1:7" x14ac:dyDescent="0.25">
      <c r="A204" s="103"/>
      <c r="B204" s="8" t="s">
        <v>645</v>
      </c>
      <c r="C204" s="8" t="s">
        <v>168</v>
      </c>
      <c r="D204" s="8" t="str">
        <f t="shared" si="23"/>
        <v>TropicalDryDegraded Land</v>
      </c>
      <c r="E204" s="8" t="str">
        <f>D204&amp;COUNTIF($D$2:D204,D204)</f>
        <v>TropicalDryDegraded Land1</v>
      </c>
      <c r="F204" s="8" t="str">
        <f>HLOOKUP('ESVD - SUMMARY TABLE'!B204,'ESVD - Land Use &amp; Climate Match'!$B$29:$V$31,2,FALSE)</f>
        <v>NA</v>
      </c>
      <c r="G204" s="8">
        <f>IFERROR(VLOOKUP(F204,'ESVD - Database'!$C$3:$E$112,3,FALSE),0)</f>
        <v>0</v>
      </c>
    </row>
    <row r="205" spans="1:7" x14ac:dyDescent="0.25">
      <c r="A205" s="103"/>
      <c r="B205" s="8" t="s">
        <v>646</v>
      </c>
      <c r="C205" s="8" t="s">
        <v>168</v>
      </c>
      <c r="D205" s="8" t="str">
        <f t="shared" si="23"/>
        <v>Tropical MountainMoistDegraded Land</v>
      </c>
      <c r="E205" s="8" t="str">
        <f>D205&amp;COUNTIF($D$2:D205,D205)</f>
        <v>Tropical MountainMoistDegraded Land1</v>
      </c>
      <c r="F205" s="8" t="str">
        <f>HLOOKUP('ESVD - SUMMARY TABLE'!B205,'ESVD - Land Use &amp; Climate Match'!$B$29:$V$31,2,FALSE)</f>
        <v>NA</v>
      </c>
      <c r="G205" s="8">
        <f>IFERROR(VLOOKUP(F205,'ESVD - Database'!$C$3:$E$112,3,FALSE),0)</f>
        <v>0</v>
      </c>
    </row>
    <row r="206" spans="1:7" x14ac:dyDescent="0.25">
      <c r="A206" s="103"/>
      <c r="B206" s="8" t="s">
        <v>647</v>
      </c>
      <c r="C206" s="8" t="s">
        <v>168</v>
      </c>
      <c r="D206" s="8" t="str">
        <f t="shared" si="23"/>
        <v>Tropical MountainDryDegraded Land</v>
      </c>
      <c r="E206" s="8" t="str">
        <f>D206&amp;COUNTIF($D$2:D206,D206)</f>
        <v>Tropical MountainDryDegraded Land1</v>
      </c>
      <c r="F206" s="8" t="str">
        <f>HLOOKUP('ESVD - SUMMARY TABLE'!B206,'ESVD - Land Use &amp; Climate Match'!$B$29:$V$31,2,FALSE)</f>
        <v>NA</v>
      </c>
      <c r="G206" s="8">
        <f>IFERROR(VLOOKUP(F206,'ESVD - Database'!$C$3:$E$112,3,FALSE),0)</f>
        <v>0</v>
      </c>
    </row>
    <row r="207" spans="1:7" x14ac:dyDescent="0.25">
      <c r="A207" s="103"/>
      <c r="B207" s="8" t="s">
        <v>648</v>
      </c>
      <c r="C207" s="8" t="s">
        <v>168</v>
      </c>
      <c r="D207" s="8" t="str">
        <f t="shared" si="23"/>
        <v>Warm TemperateMoistDegraded Land</v>
      </c>
      <c r="E207" s="8" t="str">
        <f>D207&amp;COUNTIF($D$2:D207,D207)</f>
        <v>Warm TemperateMoistDegraded Land1</v>
      </c>
      <c r="F207" s="8" t="str">
        <f>HLOOKUP('ESVD - SUMMARY TABLE'!B207,'ESVD - Land Use &amp; Climate Match'!$B$29:$V$31,2,FALSE)</f>
        <v>NA</v>
      </c>
      <c r="G207" s="8">
        <f>IFERROR(VLOOKUP(F207,'ESVD - Database'!$C$3:$E$112,3,FALSE),0)</f>
        <v>0</v>
      </c>
    </row>
    <row r="208" spans="1:7" x14ac:dyDescent="0.25">
      <c r="A208" s="103"/>
      <c r="B208" s="8" t="s">
        <v>649</v>
      </c>
      <c r="C208" s="8" t="s">
        <v>168</v>
      </c>
      <c r="D208" s="8" t="str">
        <f t="shared" si="23"/>
        <v>Warm TemperateDryDegraded Land</v>
      </c>
      <c r="E208" s="8" t="str">
        <f>D208&amp;COUNTIF($D$2:D208,D208)</f>
        <v>Warm TemperateDryDegraded Land1</v>
      </c>
      <c r="F208" s="8" t="str">
        <f>HLOOKUP('ESVD - SUMMARY TABLE'!B208,'ESVD - Land Use &amp; Climate Match'!$B$29:$V$31,2,FALSE)</f>
        <v>NA</v>
      </c>
      <c r="G208" s="8">
        <f>IFERROR(VLOOKUP(F208,'ESVD - Database'!$C$3:$E$112,3,FALSE),0)</f>
        <v>0</v>
      </c>
    </row>
    <row r="209" spans="1:7" x14ac:dyDescent="0.25">
      <c r="A209" s="103"/>
      <c r="B209" s="11" t="s">
        <v>1024</v>
      </c>
      <c r="C209" s="8" t="s">
        <v>168</v>
      </c>
      <c r="D209" s="8" t="str">
        <f t="shared" si="23"/>
        <v>Warm Temperate MountainMoistDegraded Land</v>
      </c>
      <c r="E209" s="8" t="str">
        <f>D209&amp;COUNTIF($D$2:D209,D209)</f>
        <v>Warm Temperate MountainMoistDegraded Land1</v>
      </c>
      <c r="F209" s="8" t="str">
        <f>HLOOKUP('ESVD - SUMMARY TABLE'!B209,'ESVD - Land Use &amp; Climate Match'!$B$29:$V$31,2,FALSE)</f>
        <v>NA</v>
      </c>
      <c r="G209" s="8">
        <f>IFERROR(VLOOKUP(F209,'ESVD - Database'!$C$3:$E$112,3,FALSE),0)</f>
        <v>0</v>
      </c>
    </row>
    <row r="210" spans="1:7" x14ac:dyDescent="0.25">
      <c r="A210" s="103"/>
      <c r="B210" s="11" t="s">
        <v>1025</v>
      </c>
      <c r="C210" s="8" t="s">
        <v>168</v>
      </c>
      <c r="D210" s="8" t="str">
        <f t="shared" si="23"/>
        <v>Warm Temperate MountainDryDegraded Land</v>
      </c>
      <c r="E210" s="8" t="str">
        <f>D210&amp;COUNTIF($D$2:D210,D210)</f>
        <v>Warm Temperate MountainDryDegraded Land1</v>
      </c>
      <c r="F210" s="8" t="str">
        <f>HLOOKUP('ESVD - SUMMARY TABLE'!B210,'ESVD - Land Use &amp; Climate Match'!$B$29:$V$31,2,FALSE)</f>
        <v>NA</v>
      </c>
      <c r="G210" s="8">
        <f>IFERROR(VLOOKUP(F210,'ESVD - Database'!$C$3:$E$112,3,FALSE),0)</f>
        <v>0</v>
      </c>
    </row>
    <row r="211" spans="1:7" x14ac:dyDescent="0.25">
      <c r="A211" s="103"/>
      <c r="B211" s="8" t="s">
        <v>650</v>
      </c>
      <c r="C211" s="8" t="s">
        <v>168</v>
      </c>
      <c r="D211" s="8" t="str">
        <f t="shared" si="23"/>
        <v>Cool TemperateMoistDegraded Land</v>
      </c>
      <c r="E211" s="8" t="str">
        <f>D211&amp;COUNTIF($D$2:D211,D211)</f>
        <v>Cool TemperateMoistDegraded Land1</v>
      </c>
      <c r="F211" s="8" t="str">
        <f>HLOOKUP('ESVD - SUMMARY TABLE'!B211,'ESVD - Land Use &amp; Climate Match'!$B$29:$V$31,2,FALSE)</f>
        <v>NA</v>
      </c>
      <c r="G211" s="8">
        <f>IFERROR(VLOOKUP(F211,'ESVD - Database'!$C$3:$E$112,3,FALSE),0)</f>
        <v>0</v>
      </c>
    </row>
    <row r="212" spans="1:7" x14ac:dyDescent="0.25">
      <c r="A212" s="103"/>
      <c r="B212" s="8" t="s">
        <v>651</v>
      </c>
      <c r="C212" s="8" t="s">
        <v>168</v>
      </c>
      <c r="D212" s="8" t="str">
        <f t="shared" si="23"/>
        <v>Cool TemperateDryDegraded Land</v>
      </c>
      <c r="E212" s="8" t="str">
        <f>D212&amp;COUNTIF($D$2:D212,D212)</f>
        <v>Cool TemperateDryDegraded Land1</v>
      </c>
      <c r="F212" s="8" t="str">
        <f>HLOOKUP('ESVD - SUMMARY TABLE'!B212,'ESVD - Land Use &amp; Climate Match'!$B$29:$V$31,2,FALSE)</f>
        <v>NA</v>
      </c>
      <c r="G212" s="8">
        <f>IFERROR(VLOOKUP(F212,'ESVD - Database'!$C$3:$E$112,3,FALSE),0)</f>
        <v>0</v>
      </c>
    </row>
    <row r="213" spans="1:7" x14ac:dyDescent="0.25">
      <c r="A213" s="103"/>
      <c r="B213" s="11" t="s">
        <v>1026</v>
      </c>
      <c r="C213" s="8" t="s">
        <v>168</v>
      </c>
      <c r="D213" s="8" t="str">
        <f t="shared" si="23"/>
        <v>Cool Temperate MountainMoistDegraded Land</v>
      </c>
      <c r="E213" s="8" t="str">
        <f>D213&amp;COUNTIF($D$2:D213,D213)</f>
        <v>Cool Temperate MountainMoistDegraded Land1</v>
      </c>
      <c r="F213" s="8" t="str">
        <f>HLOOKUP('ESVD - SUMMARY TABLE'!B213,'ESVD - Land Use &amp; Climate Match'!$B$29:$V$31,2,FALSE)</f>
        <v>NA</v>
      </c>
      <c r="G213" s="8">
        <f>IFERROR(VLOOKUP(F213,'ESVD - Database'!$C$3:$E$112,3,FALSE),0)</f>
        <v>0</v>
      </c>
    </row>
    <row r="214" spans="1:7" x14ac:dyDescent="0.25">
      <c r="A214" s="103"/>
      <c r="B214" s="11" t="s">
        <v>1027</v>
      </c>
      <c r="C214" s="8" t="s">
        <v>168</v>
      </c>
      <c r="D214" s="8" t="str">
        <f t="shared" si="23"/>
        <v>Cool Temperate MountainDryDegraded Land</v>
      </c>
      <c r="E214" s="8" t="str">
        <f>D214&amp;COUNTIF($D$2:D214,D214)</f>
        <v>Cool Temperate MountainDryDegraded Land1</v>
      </c>
      <c r="F214" s="8" t="str">
        <f>HLOOKUP('ESVD - SUMMARY TABLE'!B214,'ESVD - Land Use &amp; Climate Match'!$B$29:$V$31,2,FALSE)</f>
        <v>NA</v>
      </c>
      <c r="G214" s="8">
        <f>IFERROR(VLOOKUP(F214,'ESVD - Database'!$C$3:$E$112,3,FALSE),0)</f>
        <v>0</v>
      </c>
    </row>
    <row r="215" spans="1:7" x14ac:dyDescent="0.25">
      <c r="A215" s="103"/>
      <c r="B215" s="8" t="s">
        <v>652</v>
      </c>
      <c r="C215" s="8" t="s">
        <v>168</v>
      </c>
      <c r="D215" s="8" t="str">
        <f t="shared" si="23"/>
        <v>BorealMoistDegraded Land</v>
      </c>
      <c r="E215" s="8" t="str">
        <f>D215&amp;COUNTIF($D$2:D215,D215)</f>
        <v>BorealMoistDegraded Land1</v>
      </c>
      <c r="F215" s="8" t="str">
        <f>HLOOKUP('ESVD - SUMMARY TABLE'!B215,'ESVD - Land Use &amp; Climate Match'!$B$29:$V$31,2,FALSE)</f>
        <v>NA</v>
      </c>
      <c r="G215" s="8">
        <f>IFERROR(VLOOKUP(F215,'ESVD - Database'!$C$3:$E$112,3,FALSE),0)</f>
        <v>0</v>
      </c>
    </row>
    <row r="216" spans="1:7" x14ac:dyDescent="0.25">
      <c r="A216" s="103"/>
      <c r="B216" s="8" t="s">
        <v>653</v>
      </c>
      <c r="C216" s="8" t="s">
        <v>168</v>
      </c>
      <c r="D216" s="8" t="str">
        <f t="shared" si="23"/>
        <v>BorealDryDegraded Land</v>
      </c>
      <c r="E216" s="8" t="str">
        <f>D216&amp;COUNTIF($D$2:D216,D216)</f>
        <v>BorealDryDegraded Land1</v>
      </c>
      <c r="F216" s="8" t="str">
        <f>HLOOKUP('ESVD - SUMMARY TABLE'!B216,'ESVD - Land Use &amp; Climate Match'!$B$29:$V$31,2,FALSE)</f>
        <v>NA</v>
      </c>
      <c r="G216" s="8">
        <f>IFERROR(VLOOKUP(F216,'ESVD - Database'!$C$3:$E$112,3,FALSE),0)</f>
        <v>0</v>
      </c>
    </row>
    <row r="217" spans="1:7" x14ac:dyDescent="0.25">
      <c r="A217" s="103"/>
      <c r="B217" s="11" t="s">
        <v>1028</v>
      </c>
      <c r="C217" s="8" t="s">
        <v>168</v>
      </c>
      <c r="D217" s="8" t="str">
        <f t="shared" si="23"/>
        <v>Boreal MountainMoistDegraded Land</v>
      </c>
      <c r="E217" s="8" t="str">
        <f>D217&amp;COUNTIF($D$2:D217,D217)</f>
        <v>Boreal MountainMoistDegraded Land1</v>
      </c>
      <c r="F217" s="8" t="str">
        <f>HLOOKUP('ESVD - SUMMARY TABLE'!B217,'ESVD - Land Use &amp; Climate Match'!$B$29:$V$31,2,FALSE)</f>
        <v>NA</v>
      </c>
      <c r="G217" s="8">
        <f>IFERROR(VLOOKUP(F217,'ESVD - Database'!$C$3:$E$112,3,FALSE),0)</f>
        <v>0</v>
      </c>
    </row>
    <row r="218" spans="1:7" x14ac:dyDescent="0.25">
      <c r="A218" s="103"/>
      <c r="B218" s="11" t="s">
        <v>1029</v>
      </c>
      <c r="C218" s="8" t="s">
        <v>168</v>
      </c>
      <c r="D218" s="8" t="str">
        <f t="shared" si="23"/>
        <v>Boreal MountainDryDegraded Land</v>
      </c>
      <c r="E218" s="8" t="str">
        <f>D218&amp;COUNTIF($D$2:D218,D218)</f>
        <v>Boreal MountainDryDegraded Land1</v>
      </c>
      <c r="F218" s="8" t="str">
        <f>HLOOKUP('ESVD - SUMMARY TABLE'!B218,'ESVD - Land Use &amp; Climate Match'!$B$29:$V$31,2,FALSE)</f>
        <v>NA</v>
      </c>
      <c r="G218" s="8">
        <f>IFERROR(VLOOKUP(F218,'ESVD - Database'!$C$3:$E$112,3,FALSE),0)</f>
        <v>0</v>
      </c>
    </row>
    <row r="219" spans="1:7" x14ac:dyDescent="0.25">
      <c r="A219" s="103"/>
      <c r="B219" s="11" t="s">
        <v>1023</v>
      </c>
      <c r="C219" s="8" t="s">
        <v>168</v>
      </c>
      <c r="D219" s="8" t="str">
        <f t="shared" si="23"/>
        <v>PolarMoistDegraded Land</v>
      </c>
      <c r="E219" s="8" t="str">
        <f>D219&amp;COUNTIF($D$2:D219,D219)</f>
        <v>PolarMoistDegraded Land1</v>
      </c>
      <c r="F219" s="8" t="str">
        <f>HLOOKUP('ESVD - SUMMARY TABLE'!B219,'ESVD - Land Use &amp; Climate Match'!$B$29:$V$31,2,FALSE)</f>
        <v>NA</v>
      </c>
      <c r="G219" s="8">
        <f>IFERROR(VLOOKUP(F219,'ESVD - Database'!$C$3:$E$112,3,FALSE),0)</f>
        <v>0</v>
      </c>
    </row>
    <row r="220" spans="1:7" x14ac:dyDescent="0.25">
      <c r="A220" s="103"/>
      <c r="B220" s="11" t="s">
        <v>1022</v>
      </c>
      <c r="C220" s="8" t="s">
        <v>168</v>
      </c>
      <c r="D220" s="8" t="str">
        <f t="shared" si="23"/>
        <v>PolarDryDegraded Land</v>
      </c>
      <c r="E220" s="8" t="str">
        <f>D220&amp;COUNTIF($D$2:D220,D220)</f>
        <v>PolarDryDegraded Land1</v>
      </c>
      <c r="F220" s="8" t="str">
        <f>HLOOKUP('ESVD - SUMMARY TABLE'!B220,'ESVD - Land Use &amp; Climate Match'!$B$29:$V$31,2,FALSE)</f>
        <v>NA</v>
      </c>
      <c r="G220" s="8">
        <f>IFERROR(VLOOKUP(F220,'ESVD - Database'!$C$3:$E$112,3,FALSE),0)</f>
        <v>0</v>
      </c>
    </row>
    <row r="221" spans="1:7" x14ac:dyDescent="0.25">
      <c r="A221" s="103"/>
      <c r="B221" s="11" t="s">
        <v>1030</v>
      </c>
      <c r="C221" s="8" t="s">
        <v>168</v>
      </c>
      <c r="D221" s="8" t="str">
        <f t="shared" si="23"/>
        <v>Polar MountainMoistDegraded Land</v>
      </c>
      <c r="E221" s="8" t="str">
        <f>D221&amp;COUNTIF($D$2:D221,D221)</f>
        <v>Polar MountainMoistDegraded Land1</v>
      </c>
      <c r="F221" s="8" t="str">
        <f>HLOOKUP('ESVD - SUMMARY TABLE'!B221,'ESVD - Land Use &amp; Climate Match'!$B$29:$V$31,2,FALSE)</f>
        <v>NA</v>
      </c>
      <c r="G221" s="8">
        <f>IFERROR(VLOOKUP(F221,'ESVD - Database'!$C$3:$E$112,3,FALSE),0)</f>
        <v>0</v>
      </c>
    </row>
    <row r="222" spans="1:7" x14ac:dyDescent="0.25">
      <c r="A222" s="103"/>
      <c r="B222" s="11" t="s">
        <v>1031</v>
      </c>
      <c r="C222" s="8" t="s">
        <v>168</v>
      </c>
      <c r="D222" s="8" t="str">
        <f t="shared" ref="D222" si="24">CONCATENATE(B222,C222)</f>
        <v>Polar MountainDryDegraded Land</v>
      </c>
      <c r="E222" s="8" t="str">
        <f>D222&amp;COUNTIF($D$2:D222,D222)</f>
        <v>Polar MountainDryDegraded Land1</v>
      </c>
      <c r="F222" s="8" t="str">
        <f>HLOOKUP('ESVD - SUMMARY TABLE'!B222,'ESVD - Land Use &amp; Climate Match'!$B$29:$V$31,2,FALSE)</f>
        <v>NA</v>
      </c>
      <c r="G222" s="8">
        <f>IFERROR(VLOOKUP(F222,'ESVD - Database'!$C$3:$E$112,3,FALSE),0)</f>
        <v>0</v>
      </c>
    </row>
    <row r="223" spans="1:7" x14ac:dyDescent="0.25">
      <c r="A223" s="92"/>
      <c r="B223" s="8" t="s">
        <v>643</v>
      </c>
      <c r="C223" s="11" t="s">
        <v>244</v>
      </c>
      <c r="D223" s="8" t="str">
        <f t="shared" si="17"/>
        <v>TropicalWetOther (Nominal) - Bare area, Snow and ice</v>
      </c>
      <c r="E223" s="8" t="str">
        <f>D223&amp;COUNTIF($D$2:D223,D223)</f>
        <v>TropicalWetOther (Nominal) - Bare area, Snow and ice1</v>
      </c>
      <c r="F223" s="8" t="str">
        <f>HLOOKUP('ESVD - SUMMARY TABLE'!B223,'ESVD - Land Use &amp; Climate Match'!$B$32:$V$37,2,FALSE)</f>
        <v>Inland Un- or Sparsely Vegetated</v>
      </c>
      <c r="G223" s="8">
        <f>IFERROR(VLOOKUP(F223,'ESVD - Database'!$C$3:$E$112,3,FALSE),0)</f>
        <v>1127</v>
      </c>
    </row>
    <row r="224" spans="1:7" x14ac:dyDescent="0.25">
      <c r="A224" s="92"/>
      <c r="B224" s="8" t="s">
        <v>644</v>
      </c>
      <c r="C224" s="11" t="s">
        <v>244</v>
      </c>
      <c r="D224" s="8" t="str">
        <f t="shared" si="17"/>
        <v>TropicalMoistOther (Nominal) - Bare area, Snow and ice</v>
      </c>
      <c r="E224" s="8" t="str">
        <f>D224&amp;COUNTIF($D$2:D224,D224)</f>
        <v>TropicalMoistOther (Nominal) - Bare area, Snow and ice1</v>
      </c>
      <c r="F224" s="8" t="str">
        <f>HLOOKUP('ESVD - SUMMARY TABLE'!B224,'ESVD - Land Use &amp; Climate Match'!$B$32:$V$37,2,FALSE)</f>
        <v>Inland Un- or Sparsely Vegetated</v>
      </c>
      <c r="G224" s="8">
        <f>IFERROR(VLOOKUP(F224,'ESVD - Database'!$C$3:$E$112,3,FALSE),0)</f>
        <v>1127</v>
      </c>
    </row>
    <row r="225" spans="1:7" x14ac:dyDescent="0.25">
      <c r="A225" s="92"/>
      <c r="B225" s="8" t="s">
        <v>645</v>
      </c>
      <c r="C225" s="11" t="s">
        <v>244</v>
      </c>
      <c r="D225" s="8" t="str">
        <f t="shared" si="17"/>
        <v>TropicalDryOther (Nominal) - Bare area, Snow and ice</v>
      </c>
      <c r="E225" s="8" t="str">
        <f>D225&amp;COUNTIF($D$2:D225,D225)</f>
        <v>TropicalDryOther (Nominal) - Bare area, Snow and ice1</v>
      </c>
      <c r="F225" s="8" t="str">
        <f>HLOOKUP('ESVD - SUMMARY TABLE'!B225,'ESVD - Land Use &amp; Climate Match'!$B$32:$V$37,2,FALSE)</f>
        <v>Inland Un- or Sparsely Vegetated</v>
      </c>
      <c r="G225" s="8">
        <f>IFERROR(VLOOKUP(F225,'ESVD - Database'!$C$3:$E$112,3,FALSE),0)</f>
        <v>1127</v>
      </c>
    </row>
    <row r="226" spans="1:7" x14ac:dyDescent="0.25">
      <c r="A226" s="92"/>
      <c r="B226" s="8" t="s">
        <v>645</v>
      </c>
      <c r="C226" s="11" t="s">
        <v>244</v>
      </c>
      <c r="D226" s="8" t="str">
        <f t="shared" si="17"/>
        <v>TropicalDryOther (Nominal) - Bare area, Snow and ice</v>
      </c>
      <c r="E226" s="8" t="str">
        <f>D226&amp;COUNTIF($D$2:D226,D226)</f>
        <v>TropicalDryOther (Nominal) - Bare area, Snow and ice2</v>
      </c>
      <c r="F226" s="8" t="str">
        <f>HLOOKUP('ESVD - SUMMARY TABLE'!B226,'ESVD - Land Use &amp; Climate Match'!$B$32:$V$37,3,FALSE)</f>
        <v>True desert (sand/rock/salt)</v>
      </c>
      <c r="G226" s="8">
        <f>IFERROR(VLOOKUP(F226,'ESVD - Database'!$C$3:$E$112,3,FALSE),0)</f>
        <v>1127</v>
      </c>
    </row>
    <row r="227" spans="1:7" x14ac:dyDescent="0.25">
      <c r="A227" s="92"/>
      <c r="B227" s="8" t="s">
        <v>645</v>
      </c>
      <c r="C227" s="11" t="s">
        <v>244</v>
      </c>
      <c r="D227" s="8" t="str">
        <f t="shared" si="17"/>
        <v>TropicalDryOther (Nominal) - Bare area, Snow and ice</v>
      </c>
      <c r="E227" s="8" t="str">
        <f>D227&amp;COUNTIF($D$2:D227,D227)</f>
        <v>TropicalDryOther (Nominal) - Bare area, Snow and ice3</v>
      </c>
      <c r="F227" s="8" t="str">
        <f>HLOOKUP('ESVD - SUMMARY TABLE'!B227,'ESVD - Land Use &amp; Climate Match'!$B$32:$V$37,4,FALSE)</f>
        <v>Semi-desert</v>
      </c>
      <c r="G227" s="8">
        <f>IFERROR(VLOOKUP(F227,'ESVD - Database'!$C$3:$E$112,3,FALSE),0)</f>
        <v>1127</v>
      </c>
    </row>
    <row r="228" spans="1:7" x14ac:dyDescent="0.25">
      <c r="A228" s="92"/>
      <c r="B228" s="8" t="s">
        <v>646</v>
      </c>
      <c r="C228" s="11" t="s">
        <v>244</v>
      </c>
      <c r="D228" s="8" t="str">
        <f t="shared" si="17"/>
        <v>Tropical MountainMoistOther (Nominal) - Bare area, Snow and ice</v>
      </c>
      <c r="E228" s="8" t="str">
        <f>D228&amp;COUNTIF($D$2:D228,D228)</f>
        <v>Tropical MountainMoistOther (Nominal) - Bare area, Snow and ice1</v>
      </c>
      <c r="F228" s="8" t="str">
        <f>HLOOKUP('ESVD - SUMMARY TABLE'!B228,'ESVD - Land Use &amp; Climate Match'!$B$32:$V$37,2,FALSE)</f>
        <v>Inland Un- or Sparsely Vegetated</v>
      </c>
      <c r="G228" s="8">
        <f>IFERROR(VLOOKUP(F228,'ESVD - Database'!$C$3:$E$112,3,FALSE),0)</f>
        <v>1127</v>
      </c>
    </row>
    <row r="229" spans="1:7" x14ac:dyDescent="0.25">
      <c r="A229" s="92"/>
      <c r="B229" s="8" t="s">
        <v>647</v>
      </c>
      <c r="C229" s="11" t="s">
        <v>244</v>
      </c>
      <c r="D229" s="8" t="str">
        <f t="shared" si="17"/>
        <v>Tropical MountainDryOther (Nominal) - Bare area, Snow and ice</v>
      </c>
      <c r="E229" s="8" t="str">
        <f>D229&amp;COUNTIF($D$2:D229,D229)</f>
        <v>Tropical MountainDryOther (Nominal) - Bare area, Snow and ice1</v>
      </c>
      <c r="F229" s="8" t="str">
        <f>HLOOKUP('ESVD - SUMMARY TABLE'!B229,'ESVD - Land Use &amp; Climate Match'!$B$32:$V$37,2,FALSE)</f>
        <v>Inland Un- or Sparsely Vegetated</v>
      </c>
      <c r="G229" s="8">
        <f>IFERROR(VLOOKUP(F229,'ESVD - Database'!$C$3:$E$112,3,FALSE),0)</f>
        <v>1127</v>
      </c>
    </row>
    <row r="230" spans="1:7" x14ac:dyDescent="0.25">
      <c r="A230" s="92"/>
      <c r="B230" s="8" t="s">
        <v>647</v>
      </c>
      <c r="C230" s="11" t="s">
        <v>244</v>
      </c>
      <c r="D230" s="8" t="str">
        <f t="shared" si="17"/>
        <v>Tropical MountainDryOther (Nominal) - Bare area, Snow and ice</v>
      </c>
      <c r="E230" s="8" t="str">
        <f>D230&amp;COUNTIF($D$2:D230,D230)</f>
        <v>Tropical MountainDryOther (Nominal) - Bare area, Snow and ice2</v>
      </c>
      <c r="F230" s="8" t="str">
        <f>HLOOKUP('ESVD - SUMMARY TABLE'!B230,'ESVD - Land Use &amp; Climate Match'!$B$32:$V$37,3,FALSE)</f>
        <v>True desert (sand/rock/salt)</v>
      </c>
      <c r="G230" s="8">
        <f>IFERROR(VLOOKUP(F230,'ESVD - Database'!$C$3:$E$112,3,FALSE),0)</f>
        <v>1127</v>
      </c>
    </row>
    <row r="231" spans="1:7" x14ac:dyDescent="0.25">
      <c r="A231" s="92"/>
      <c r="B231" s="8" t="s">
        <v>647</v>
      </c>
      <c r="C231" s="11" t="s">
        <v>244</v>
      </c>
      <c r="D231" s="8" t="str">
        <f t="shared" si="17"/>
        <v>Tropical MountainDryOther (Nominal) - Bare area, Snow and ice</v>
      </c>
      <c r="E231" s="8" t="str">
        <f>D231&amp;COUNTIF($D$2:D231,D231)</f>
        <v>Tropical MountainDryOther (Nominal) - Bare area, Snow and ice3</v>
      </c>
      <c r="F231" s="8" t="str">
        <f>HLOOKUP('ESVD - SUMMARY TABLE'!B231,'ESVD - Land Use &amp; Climate Match'!$B$32:$V$37,4,FALSE)</f>
        <v>Semi-desert</v>
      </c>
      <c r="G231" s="8">
        <f>IFERROR(VLOOKUP(F231,'ESVD - Database'!$C$3:$E$112,3,FALSE),0)</f>
        <v>1127</v>
      </c>
    </row>
    <row r="232" spans="1:7" x14ac:dyDescent="0.25">
      <c r="A232" s="92"/>
      <c r="B232" s="8" t="s">
        <v>648</v>
      </c>
      <c r="C232" s="11" t="s">
        <v>244</v>
      </c>
      <c r="D232" s="8" t="str">
        <f t="shared" si="17"/>
        <v>Warm TemperateMoistOther (Nominal) - Bare area, Snow and ice</v>
      </c>
      <c r="E232" s="8" t="str">
        <f>D232&amp;COUNTIF($D$2:D232,D232)</f>
        <v>Warm TemperateMoistOther (Nominal) - Bare area, Snow and ice1</v>
      </c>
      <c r="F232" s="8" t="str">
        <f>HLOOKUP('ESVD - SUMMARY TABLE'!B232,'ESVD - Land Use &amp; Climate Match'!$B$32:$V$37,2,FALSE)</f>
        <v>Inland Un- or Sparsely Vegetated</v>
      </c>
      <c r="G232" s="8">
        <f>IFERROR(VLOOKUP(F232,'ESVD - Database'!$C$3:$E$112,3,FALSE),0)</f>
        <v>1127</v>
      </c>
    </row>
    <row r="233" spans="1:7" x14ac:dyDescent="0.25">
      <c r="A233" s="92"/>
      <c r="B233" s="8" t="s">
        <v>649</v>
      </c>
      <c r="C233" s="11" t="s">
        <v>244</v>
      </c>
      <c r="D233" s="8" t="str">
        <f t="shared" ref="D233:D280" si="25">CONCATENATE(B233,C233)</f>
        <v>Warm TemperateDryOther (Nominal) - Bare area, Snow and ice</v>
      </c>
      <c r="E233" s="8" t="str">
        <f>D233&amp;COUNTIF($D$2:D233,D233)</f>
        <v>Warm TemperateDryOther (Nominal) - Bare area, Snow and ice1</v>
      </c>
      <c r="F233" s="8" t="str">
        <f>HLOOKUP('ESVD - SUMMARY TABLE'!B233,'ESVD - Land Use &amp; Climate Match'!$B$32:$V$37,2,FALSE)</f>
        <v>Inland Un- or Sparsely Vegetated</v>
      </c>
      <c r="G233" s="8">
        <f>IFERROR(VLOOKUP(F233,'ESVD - Database'!$C$3:$E$112,3,FALSE),0)</f>
        <v>1127</v>
      </c>
    </row>
    <row r="234" spans="1:7" x14ac:dyDescent="0.25">
      <c r="A234" s="92"/>
      <c r="B234" s="8" t="s">
        <v>649</v>
      </c>
      <c r="C234" s="11" t="s">
        <v>244</v>
      </c>
      <c r="D234" s="8" t="str">
        <f t="shared" si="25"/>
        <v>Warm TemperateDryOther (Nominal) - Bare area, Snow and ice</v>
      </c>
      <c r="E234" s="8" t="str">
        <f>D234&amp;COUNTIF($D$2:D234,D234)</f>
        <v>Warm TemperateDryOther (Nominal) - Bare area, Snow and ice2</v>
      </c>
      <c r="F234" s="8" t="str">
        <f>HLOOKUP('ESVD - SUMMARY TABLE'!B234,'ESVD - Land Use &amp; Climate Match'!$B$32:$V$37,3,FALSE)</f>
        <v>True desert (sand/rock/salt)</v>
      </c>
      <c r="G234" s="8">
        <f>IFERROR(VLOOKUP(F234,'ESVD - Database'!$C$3:$E$112,3,FALSE),0)</f>
        <v>1127</v>
      </c>
    </row>
    <row r="235" spans="1:7" x14ac:dyDescent="0.25">
      <c r="A235" s="92"/>
      <c r="B235" s="8" t="s">
        <v>649</v>
      </c>
      <c r="C235" s="11" t="s">
        <v>244</v>
      </c>
      <c r="D235" s="8" t="str">
        <f t="shared" si="25"/>
        <v>Warm TemperateDryOther (Nominal) - Bare area, Snow and ice</v>
      </c>
      <c r="E235" s="8" t="str">
        <f>D235&amp;COUNTIF($D$2:D235,D235)</f>
        <v>Warm TemperateDryOther (Nominal) - Bare area, Snow and ice3</v>
      </c>
      <c r="F235" s="8" t="str">
        <f>HLOOKUP('ESVD - SUMMARY TABLE'!B235,'ESVD - Land Use &amp; Climate Match'!$B$32:$V$37,4,FALSE)</f>
        <v>Semi-desert</v>
      </c>
      <c r="G235" s="8">
        <f>IFERROR(VLOOKUP(F235,'ESVD - Database'!$C$3:$E$112,3,FALSE),0)</f>
        <v>1127</v>
      </c>
    </row>
    <row r="236" spans="1:7" x14ac:dyDescent="0.25">
      <c r="A236" s="92"/>
      <c r="B236" s="11" t="s">
        <v>1024</v>
      </c>
      <c r="C236" s="11" t="s">
        <v>244</v>
      </c>
      <c r="D236" s="8" t="str">
        <f t="shared" ref="D236:D239" si="26">CONCATENATE(B236,C236)</f>
        <v>Warm Temperate MountainMoistOther (Nominal) - Bare area, Snow and ice</v>
      </c>
      <c r="E236" s="8" t="str">
        <f>D236&amp;COUNTIF($D$2:D236,D236)</f>
        <v>Warm Temperate MountainMoistOther (Nominal) - Bare area, Snow and ice1</v>
      </c>
      <c r="F236" s="8" t="str">
        <f>HLOOKUP('ESVD - SUMMARY TABLE'!B236,'ESVD - Land Use &amp; Climate Match'!$B$32:$V$37,2,FALSE)</f>
        <v>Inland Un- or Sparsely Vegetated</v>
      </c>
      <c r="G236" s="8">
        <f>IFERROR(VLOOKUP(F236,'ESVD - Database'!$C$3:$E$112,3,FALSE),0)</f>
        <v>1127</v>
      </c>
    </row>
    <row r="237" spans="1:7" x14ac:dyDescent="0.25">
      <c r="A237" s="92"/>
      <c r="B237" s="11" t="s">
        <v>1025</v>
      </c>
      <c r="C237" s="11" t="s">
        <v>244</v>
      </c>
      <c r="D237" s="8" t="str">
        <f t="shared" si="26"/>
        <v>Warm Temperate MountainDryOther (Nominal) - Bare area, Snow and ice</v>
      </c>
      <c r="E237" s="8" t="str">
        <f>D237&amp;COUNTIF($D$2:D237,D237)</f>
        <v>Warm Temperate MountainDryOther (Nominal) - Bare area, Snow and ice1</v>
      </c>
      <c r="F237" s="8" t="str">
        <f>HLOOKUP('ESVD - SUMMARY TABLE'!B237,'ESVD - Land Use &amp; Climate Match'!$B$32:$V$37,2,FALSE)</f>
        <v>Inland Un- or Sparsely Vegetated</v>
      </c>
      <c r="G237" s="8">
        <f>IFERROR(VLOOKUP(F237,'ESVD - Database'!$C$3:$E$112,3,FALSE),0)</f>
        <v>1127</v>
      </c>
    </row>
    <row r="238" spans="1:7" x14ac:dyDescent="0.25">
      <c r="A238" s="92"/>
      <c r="B238" s="11" t="s">
        <v>1025</v>
      </c>
      <c r="C238" s="11" t="s">
        <v>244</v>
      </c>
      <c r="D238" s="8" t="str">
        <f t="shared" si="26"/>
        <v>Warm Temperate MountainDryOther (Nominal) - Bare area, Snow and ice</v>
      </c>
      <c r="E238" s="8" t="str">
        <f>D238&amp;COUNTIF($D$2:D238,D238)</f>
        <v>Warm Temperate MountainDryOther (Nominal) - Bare area, Snow and ice2</v>
      </c>
      <c r="F238" s="8" t="str">
        <f>HLOOKUP('ESVD - SUMMARY TABLE'!B238,'ESVD - Land Use &amp; Climate Match'!$B$32:$V$37,3,FALSE)</f>
        <v>True desert (sand/rock/salt)</v>
      </c>
      <c r="G238" s="8">
        <f>IFERROR(VLOOKUP(F238,'ESVD - Database'!$C$3:$E$112,3,FALSE),0)</f>
        <v>1127</v>
      </c>
    </row>
    <row r="239" spans="1:7" x14ac:dyDescent="0.25">
      <c r="A239" s="92"/>
      <c r="B239" s="11" t="s">
        <v>1025</v>
      </c>
      <c r="C239" s="11" t="s">
        <v>244</v>
      </c>
      <c r="D239" s="8" t="str">
        <f t="shared" si="26"/>
        <v>Warm Temperate MountainDryOther (Nominal) - Bare area, Snow and ice</v>
      </c>
      <c r="E239" s="8" t="str">
        <f>D239&amp;COUNTIF($D$2:D239,D239)</f>
        <v>Warm Temperate MountainDryOther (Nominal) - Bare area, Snow and ice3</v>
      </c>
      <c r="F239" s="8" t="str">
        <f>HLOOKUP('ESVD - SUMMARY TABLE'!B239,'ESVD - Land Use &amp; Climate Match'!$B$32:$V$37,4,FALSE)</f>
        <v>Semi-desert</v>
      </c>
      <c r="G239" s="8">
        <f>IFERROR(VLOOKUP(F239,'ESVD - Database'!$C$3:$E$112,3,FALSE),0)</f>
        <v>1127</v>
      </c>
    </row>
    <row r="240" spans="1:7" x14ac:dyDescent="0.25">
      <c r="A240" s="92"/>
      <c r="B240" s="8" t="s">
        <v>650</v>
      </c>
      <c r="C240" s="11" t="s">
        <v>244</v>
      </c>
      <c r="D240" s="8" t="str">
        <f t="shared" si="25"/>
        <v>Cool TemperateMoistOther (Nominal) - Bare area, Snow and ice</v>
      </c>
      <c r="E240" s="8" t="str">
        <f>D240&amp;COUNTIF($D$2:D240,D240)</f>
        <v>Cool TemperateMoistOther (Nominal) - Bare area, Snow and ice1</v>
      </c>
      <c r="F240" s="8" t="str">
        <f>HLOOKUP('ESVD - SUMMARY TABLE'!B240,'ESVD - Land Use &amp; Climate Match'!$B$32:$V$37,2,FALSE)</f>
        <v>Inland Un- or Sparsely Vegetated</v>
      </c>
      <c r="G240" s="8">
        <f>IFERROR(VLOOKUP(F240,'ESVD - Database'!$C$3:$E$112,3,FALSE),0)</f>
        <v>1127</v>
      </c>
    </row>
    <row r="241" spans="1:7" x14ac:dyDescent="0.25">
      <c r="A241" s="92"/>
      <c r="B241" s="8" t="s">
        <v>651</v>
      </c>
      <c r="C241" s="11" t="s">
        <v>244</v>
      </c>
      <c r="D241" s="8" t="str">
        <f t="shared" si="25"/>
        <v>Cool TemperateDryOther (Nominal) - Bare area, Snow and ice</v>
      </c>
      <c r="E241" s="8" t="str">
        <f>D241&amp;COUNTIF($D$2:D241,D241)</f>
        <v>Cool TemperateDryOther (Nominal) - Bare area, Snow and ice1</v>
      </c>
      <c r="F241" s="8" t="str">
        <f>HLOOKUP('ESVD - SUMMARY TABLE'!B241,'ESVD - Land Use &amp; Climate Match'!$B$32:$V$37,2,FALSE)</f>
        <v>Inland Un- or Sparsely Vegetated</v>
      </c>
      <c r="G241" s="8">
        <f>IFERROR(VLOOKUP(F241,'ESVD - Database'!$C$3:$E$112,3,FALSE),0)</f>
        <v>1127</v>
      </c>
    </row>
    <row r="242" spans="1:7" x14ac:dyDescent="0.25">
      <c r="A242" s="92"/>
      <c r="B242" s="8" t="s">
        <v>651</v>
      </c>
      <c r="C242" s="11" t="s">
        <v>244</v>
      </c>
      <c r="D242" s="8" t="str">
        <f t="shared" si="25"/>
        <v>Cool TemperateDryOther (Nominal) - Bare area, Snow and ice</v>
      </c>
      <c r="E242" s="8" t="str">
        <f>D242&amp;COUNTIF($D$2:D242,D242)</f>
        <v>Cool TemperateDryOther (Nominal) - Bare area, Snow and ice2</v>
      </c>
      <c r="F242" s="8" t="str">
        <f>HLOOKUP('ESVD - SUMMARY TABLE'!B242,'ESVD - Land Use &amp; Climate Match'!$B$32:$V$37,3,FALSE)</f>
        <v>True desert (sand/rock/salt)</v>
      </c>
      <c r="G242" s="8">
        <f>IFERROR(VLOOKUP(F242,'ESVD - Database'!$C$3:$E$112,3,FALSE),0)</f>
        <v>1127</v>
      </c>
    </row>
    <row r="243" spans="1:7" x14ac:dyDescent="0.25">
      <c r="A243" s="92"/>
      <c r="B243" s="8" t="s">
        <v>651</v>
      </c>
      <c r="C243" s="11" t="s">
        <v>244</v>
      </c>
      <c r="D243" s="8" t="str">
        <f t="shared" si="25"/>
        <v>Cool TemperateDryOther (Nominal) - Bare area, Snow and ice</v>
      </c>
      <c r="E243" s="8" t="str">
        <f>D243&amp;COUNTIF($D$2:D243,D243)</f>
        <v>Cool TemperateDryOther (Nominal) - Bare area, Snow and ice3</v>
      </c>
      <c r="F243" s="8" t="str">
        <f>HLOOKUP('ESVD - SUMMARY TABLE'!B243,'ESVD - Land Use &amp; Climate Match'!$B$32:$V$37,4,FALSE)</f>
        <v>Semi-desert</v>
      </c>
      <c r="G243" s="8">
        <f>IFERROR(VLOOKUP(F243,'ESVD - Database'!$C$3:$E$112,3,FALSE),0)</f>
        <v>1127</v>
      </c>
    </row>
    <row r="244" spans="1:7" x14ac:dyDescent="0.25">
      <c r="A244" s="92"/>
      <c r="B244" s="11" t="s">
        <v>1026</v>
      </c>
      <c r="C244" s="11" t="s">
        <v>244</v>
      </c>
      <c r="D244" s="8" t="str">
        <f t="shared" ref="D244:D247" si="27">CONCATENATE(B244,C244)</f>
        <v>Cool Temperate MountainMoistOther (Nominal) - Bare area, Snow and ice</v>
      </c>
      <c r="E244" s="8" t="str">
        <f>D244&amp;COUNTIF($D$2:D244,D244)</f>
        <v>Cool Temperate MountainMoistOther (Nominal) - Bare area, Snow and ice1</v>
      </c>
      <c r="F244" s="8" t="str">
        <f>HLOOKUP('ESVD - SUMMARY TABLE'!B244,'ESVD - Land Use &amp; Climate Match'!$B$32:$V$37,2,FALSE)</f>
        <v>Inland Un- or Sparsely Vegetated</v>
      </c>
      <c r="G244" s="8">
        <f>IFERROR(VLOOKUP(F244,'ESVD - Database'!$C$3:$E$112,3,FALSE),0)</f>
        <v>1127</v>
      </c>
    </row>
    <row r="245" spans="1:7" x14ac:dyDescent="0.25">
      <c r="A245" s="92"/>
      <c r="B245" s="11" t="s">
        <v>1027</v>
      </c>
      <c r="C245" s="11" t="s">
        <v>244</v>
      </c>
      <c r="D245" s="8" t="str">
        <f t="shared" si="27"/>
        <v>Cool Temperate MountainDryOther (Nominal) - Bare area, Snow and ice</v>
      </c>
      <c r="E245" s="8" t="str">
        <f>D245&amp;COUNTIF($D$2:D245,D245)</f>
        <v>Cool Temperate MountainDryOther (Nominal) - Bare area, Snow and ice1</v>
      </c>
      <c r="F245" s="8" t="str">
        <f>HLOOKUP('ESVD - SUMMARY TABLE'!B245,'ESVD - Land Use &amp; Climate Match'!$B$32:$V$37,2,FALSE)</f>
        <v>Inland Un- or Sparsely Vegetated</v>
      </c>
      <c r="G245" s="8">
        <f>IFERROR(VLOOKUP(F245,'ESVD - Database'!$C$3:$E$112,3,FALSE),0)</f>
        <v>1127</v>
      </c>
    </row>
    <row r="246" spans="1:7" x14ac:dyDescent="0.25">
      <c r="A246" s="92"/>
      <c r="B246" s="11" t="s">
        <v>1027</v>
      </c>
      <c r="C246" s="11" t="s">
        <v>244</v>
      </c>
      <c r="D246" s="8" t="str">
        <f t="shared" si="27"/>
        <v>Cool Temperate MountainDryOther (Nominal) - Bare area, Snow and ice</v>
      </c>
      <c r="E246" s="8" t="str">
        <f>D246&amp;COUNTIF($D$2:D246,D246)</f>
        <v>Cool Temperate MountainDryOther (Nominal) - Bare area, Snow and ice2</v>
      </c>
      <c r="F246" s="8" t="str">
        <f>HLOOKUP('ESVD - SUMMARY TABLE'!B246,'ESVD - Land Use &amp; Climate Match'!$B$32:$V$37,3,FALSE)</f>
        <v>True desert (sand/rock/salt)</v>
      </c>
      <c r="G246" s="8">
        <f>IFERROR(VLOOKUP(F246,'ESVD - Database'!$C$3:$E$112,3,FALSE),0)</f>
        <v>1127</v>
      </c>
    </row>
    <row r="247" spans="1:7" x14ac:dyDescent="0.25">
      <c r="A247" s="92"/>
      <c r="B247" s="11" t="s">
        <v>1027</v>
      </c>
      <c r="C247" s="11" t="s">
        <v>244</v>
      </c>
      <c r="D247" s="8" t="str">
        <f t="shared" si="27"/>
        <v>Cool Temperate MountainDryOther (Nominal) - Bare area, Snow and ice</v>
      </c>
      <c r="E247" s="8" t="str">
        <f>D247&amp;COUNTIF($D$2:D247,D247)</f>
        <v>Cool Temperate MountainDryOther (Nominal) - Bare area, Snow and ice3</v>
      </c>
      <c r="F247" s="8" t="str">
        <f>HLOOKUP('ESVD - SUMMARY TABLE'!B247,'ESVD - Land Use &amp; Climate Match'!$B$32:$V$37,4,FALSE)</f>
        <v>Semi-desert</v>
      </c>
      <c r="G247" s="8">
        <f>IFERROR(VLOOKUP(F247,'ESVD - Database'!$C$3:$E$112,3,FALSE),0)</f>
        <v>1127</v>
      </c>
    </row>
    <row r="248" spans="1:7" x14ac:dyDescent="0.25">
      <c r="A248" s="92"/>
      <c r="B248" s="8" t="s">
        <v>652</v>
      </c>
      <c r="C248" s="11" t="s">
        <v>244</v>
      </c>
      <c r="D248" s="8" t="str">
        <f t="shared" si="25"/>
        <v>BorealMoistOther (Nominal) - Bare area, Snow and ice</v>
      </c>
      <c r="E248" s="8" t="str">
        <f>D248&amp;COUNTIF($D$2:D248,D248)</f>
        <v>BorealMoistOther (Nominal) - Bare area, Snow and ice1</v>
      </c>
      <c r="F248" s="8" t="str">
        <f>HLOOKUP('ESVD - SUMMARY TABLE'!B248,'ESVD - Land Use &amp; Climate Match'!$B$32:$V$37,2,FALSE)</f>
        <v>Inland Un- or Sparsely Vegetated</v>
      </c>
      <c r="G248" s="8">
        <f>IFERROR(VLOOKUP(F248,'ESVD - Database'!$C$3:$E$112,3,FALSE),0)</f>
        <v>1127</v>
      </c>
    </row>
    <row r="249" spans="1:7" x14ac:dyDescent="0.25">
      <c r="A249" s="92"/>
      <c r="B249" s="8" t="s">
        <v>652</v>
      </c>
      <c r="C249" s="11" t="s">
        <v>244</v>
      </c>
      <c r="D249" s="8" t="str">
        <f t="shared" si="25"/>
        <v>BorealMoistOther (Nominal) - Bare area, Snow and ice</v>
      </c>
      <c r="E249" s="8" t="str">
        <f>D249&amp;COUNTIF($D$2:D249,D249)</f>
        <v>BorealMoistOther (Nominal) - Bare area, Snow and ice2</v>
      </c>
      <c r="F249" s="8" t="str">
        <f>HLOOKUP('ESVD - SUMMARY TABLE'!B249,'ESVD - Land Use &amp; Climate Match'!$B$32:$V$37,3,FALSE)</f>
        <v>High Mountain – snow and ice</v>
      </c>
      <c r="G249" s="8">
        <f>IFERROR(VLOOKUP(F249,'ESVD - Database'!$C$3:$E$112,3,FALSE),0)</f>
        <v>1127</v>
      </c>
    </row>
    <row r="250" spans="1:7" x14ac:dyDescent="0.25">
      <c r="A250" s="92"/>
      <c r="B250" s="8" t="s">
        <v>652</v>
      </c>
      <c r="C250" s="11" t="s">
        <v>244</v>
      </c>
      <c r="D250" s="8" t="str">
        <f t="shared" si="25"/>
        <v>BorealMoistOther (Nominal) - Bare area, Snow and ice</v>
      </c>
      <c r="E250" s="8" t="str">
        <f>D250&amp;COUNTIF($D$2:D250,D250)</f>
        <v>BorealMoistOther (Nominal) - Bare area, Snow and ice3</v>
      </c>
      <c r="F250" s="8" t="str">
        <f>HLOOKUP('ESVD - SUMMARY TABLE'!B250,'ESVD - Land Use &amp; Climate Match'!$B$32:$V$37,4,FALSE)</f>
        <v>Polar</v>
      </c>
      <c r="G250" s="8">
        <f>IFERROR(VLOOKUP(F250,'ESVD - Database'!$C$3:$E$112,3,FALSE),0)</f>
        <v>1127</v>
      </c>
    </row>
    <row r="251" spans="1:7" x14ac:dyDescent="0.25">
      <c r="A251" s="92"/>
      <c r="B251" s="8" t="s">
        <v>653</v>
      </c>
      <c r="C251" s="11" t="s">
        <v>244</v>
      </c>
      <c r="D251" s="8" t="str">
        <f t="shared" si="25"/>
        <v>BorealDryOther (Nominal) - Bare area, Snow and ice</v>
      </c>
      <c r="E251" s="8" t="str">
        <f>D251&amp;COUNTIF($D$2:D251,D251)</f>
        <v>BorealDryOther (Nominal) - Bare area, Snow and ice1</v>
      </c>
      <c r="F251" s="8" t="str">
        <f>HLOOKUP('ESVD - SUMMARY TABLE'!B251,'ESVD - Land Use &amp; Climate Match'!$B$32:$V$37,2,FALSE)</f>
        <v>Inland Un- or Sparsely Vegetated</v>
      </c>
      <c r="G251" s="8">
        <f>IFERROR(VLOOKUP(F251,'ESVD - Database'!$C$3:$E$112,3,FALSE),0)</f>
        <v>1127</v>
      </c>
    </row>
    <row r="252" spans="1:7" x14ac:dyDescent="0.25">
      <c r="A252" s="92"/>
      <c r="B252" s="8" t="s">
        <v>653</v>
      </c>
      <c r="C252" s="11" t="s">
        <v>244</v>
      </c>
      <c r="D252" s="8" t="str">
        <f t="shared" si="25"/>
        <v>BorealDryOther (Nominal) - Bare area, Snow and ice</v>
      </c>
      <c r="E252" s="8" t="str">
        <f>D252&amp;COUNTIF($D$2:D252,D252)</f>
        <v>BorealDryOther (Nominal) - Bare area, Snow and ice2</v>
      </c>
      <c r="F252" s="8" t="str">
        <f>HLOOKUP('ESVD - SUMMARY TABLE'!B252,'ESVD - Land Use &amp; Climate Match'!$B$32:$V$37,3,FALSE)</f>
        <v>High Mountain – snow and ice</v>
      </c>
      <c r="G252" s="8">
        <f>IFERROR(VLOOKUP(F252,'ESVD - Database'!$C$3:$E$112,3,FALSE),0)</f>
        <v>1127</v>
      </c>
    </row>
    <row r="253" spans="1:7" x14ac:dyDescent="0.25">
      <c r="A253" s="92"/>
      <c r="B253" s="8" t="s">
        <v>653</v>
      </c>
      <c r="C253" s="11" t="s">
        <v>244</v>
      </c>
      <c r="D253" s="8" t="str">
        <f t="shared" si="25"/>
        <v>BorealDryOther (Nominal) - Bare area, Snow and ice</v>
      </c>
      <c r="E253" s="8" t="str">
        <f>D253&amp;COUNTIF($D$2:D253,D253)</f>
        <v>BorealDryOther (Nominal) - Bare area, Snow and ice3</v>
      </c>
      <c r="F253" s="8" t="str">
        <f>HLOOKUP('ESVD - SUMMARY TABLE'!B253,'ESVD - Land Use &amp; Climate Match'!$B$32:$V$37,4,FALSE)</f>
        <v>Polar</v>
      </c>
      <c r="G253" s="8">
        <f>IFERROR(VLOOKUP(F253,'ESVD - Database'!$C$3:$E$112,3,FALSE),0)</f>
        <v>1127</v>
      </c>
    </row>
    <row r="254" spans="1:7" x14ac:dyDescent="0.25">
      <c r="A254" s="92"/>
      <c r="B254" s="8" t="s">
        <v>653</v>
      </c>
      <c r="C254" s="11" t="s">
        <v>244</v>
      </c>
      <c r="D254" s="8" t="str">
        <f t="shared" si="25"/>
        <v>BorealDryOther (Nominal) - Bare area, Snow and ice</v>
      </c>
      <c r="E254" s="8" t="str">
        <f>D254&amp;COUNTIF($D$2:D254,D254)</f>
        <v>BorealDryOther (Nominal) - Bare area, Snow and ice4</v>
      </c>
      <c r="F254" s="8" t="str">
        <f>HLOOKUP('ESVD - SUMMARY TABLE'!B254,'ESVD - Land Use &amp; Climate Match'!$B$32:$V$37,5,FALSE)</f>
        <v>True desert (sand/rock/salt)</v>
      </c>
      <c r="G254" s="8">
        <f>IFERROR(VLOOKUP(F254,'ESVD - Database'!$C$3:$E$112,3,FALSE),0)</f>
        <v>1127</v>
      </c>
    </row>
    <row r="255" spans="1:7" x14ac:dyDescent="0.25">
      <c r="A255" s="92"/>
      <c r="B255" s="8" t="s">
        <v>653</v>
      </c>
      <c r="C255" s="11" t="s">
        <v>244</v>
      </c>
      <c r="D255" s="8" t="str">
        <f t="shared" si="25"/>
        <v>BorealDryOther (Nominal) - Bare area, Snow and ice</v>
      </c>
      <c r="E255" s="8" t="str">
        <f>D255&amp;COUNTIF($D$2:D255,D255)</f>
        <v>BorealDryOther (Nominal) - Bare area, Snow and ice5</v>
      </c>
      <c r="F255" s="8" t="str">
        <f>HLOOKUP('ESVD - SUMMARY TABLE'!B255,'ESVD - Land Use &amp; Climate Match'!$B$32:$V$37,6,FALSE)</f>
        <v>Semi-desert</v>
      </c>
      <c r="G255" s="8">
        <f>IFERROR(VLOOKUP(F255,'ESVD - Database'!$C$3:$E$112,3,FALSE),0)</f>
        <v>1127</v>
      </c>
    </row>
    <row r="256" spans="1:7" x14ac:dyDescent="0.25">
      <c r="A256" s="92"/>
      <c r="B256" s="11" t="s">
        <v>1028</v>
      </c>
      <c r="C256" s="11" t="s">
        <v>244</v>
      </c>
      <c r="D256" s="8" t="str">
        <f t="shared" ref="D256:D263" si="28">CONCATENATE(B256,C256)</f>
        <v>Boreal MountainMoistOther (Nominal) - Bare area, Snow and ice</v>
      </c>
      <c r="E256" s="8" t="str">
        <f>D256&amp;COUNTIF($D$2:D256,D256)</f>
        <v>Boreal MountainMoistOther (Nominal) - Bare area, Snow and ice1</v>
      </c>
      <c r="F256" s="8" t="str">
        <f>HLOOKUP('ESVD - SUMMARY TABLE'!B256,'ESVD - Land Use &amp; Climate Match'!$B$32:$V$37,2,FALSE)</f>
        <v>Inland Un- or Sparsely Vegetated</v>
      </c>
      <c r="G256" s="8">
        <f>IFERROR(VLOOKUP(F256,'ESVD - Database'!$C$3:$E$112,3,FALSE),0)</f>
        <v>1127</v>
      </c>
    </row>
    <row r="257" spans="1:7" x14ac:dyDescent="0.25">
      <c r="A257" s="92"/>
      <c r="B257" s="11" t="s">
        <v>1028</v>
      </c>
      <c r="C257" s="11" t="s">
        <v>244</v>
      </c>
      <c r="D257" s="8" t="str">
        <f t="shared" si="28"/>
        <v>Boreal MountainMoistOther (Nominal) - Bare area, Snow and ice</v>
      </c>
      <c r="E257" s="8" t="str">
        <f>D257&amp;COUNTIF($D$2:D257,D257)</f>
        <v>Boreal MountainMoistOther (Nominal) - Bare area, Snow and ice2</v>
      </c>
      <c r="F257" s="8" t="str">
        <f>HLOOKUP('ESVD - SUMMARY TABLE'!B257,'ESVD - Land Use &amp; Climate Match'!$B$32:$V$37,3,FALSE)</f>
        <v>High Mountain – snow and ice</v>
      </c>
      <c r="G257" s="8">
        <f>IFERROR(VLOOKUP(F257,'ESVD - Database'!$C$3:$E$112,3,FALSE),0)</f>
        <v>1127</v>
      </c>
    </row>
    <row r="258" spans="1:7" x14ac:dyDescent="0.25">
      <c r="A258" s="92"/>
      <c r="B258" s="11" t="s">
        <v>1028</v>
      </c>
      <c r="C258" s="11" t="s">
        <v>244</v>
      </c>
      <c r="D258" s="8" t="str">
        <f t="shared" si="28"/>
        <v>Boreal MountainMoistOther (Nominal) - Bare area, Snow and ice</v>
      </c>
      <c r="E258" s="8" t="str">
        <f>D258&amp;COUNTIF($D$2:D258,D258)</f>
        <v>Boreal MountainMoistOther (Nominal) - Bare area, Snow and ice3</v>
      </c>
      <c r="F258" s="8" t="str">
        <f>HLOOKUP('ESVD - SUMMARY TABLE'!B258,'ESVD - Land Use &amp; Climate Match'!$B$32:$V$37,4,FALSE)</f>
        <v>Polar</v>
      </c>
      <c r="G258" s="8">
        <f>IFERROR(VLOOKUP(F258,'ESVD - Database'!$C$3:$E$112,3,FALSE),0)</f>
        <v>1127</v>
      </c>
    </row>
    <row r="259" spans="1:7" x14ac:dyDescent="0.25">
      <c r="A259" s="92"/>
      <c r="B259" s="11" t="s">
        <v>1029</v>
      </c>
      <c r="C259" s="11" t="s">
        <v>244</v>
      </c>
      <c r="D259" s="8" t="str">
        <f t="shared" si="28"/>
        <v>Boreal MountainDryOther (Nominal) - Bare area, Snow and ice</v>
      </c>
      <c r="E259" s="8" t="str">
        <f>D259&amp;COUNTIF($D$2:D259,D259)</f>
        <v>Boreal MountainDryOther (Nominal) - Bare area, Snow and ice1</v>
      </c>
      <c r="F259" s="8" t="str">
        <f>HLOOKUP('ESVD - SUMMARY TABLE'!B259,'ESVD - Land Use &amp; Climate Match'!$B$32:$V$37,2,FALSE)</f>
        <v>Inland Un- or Sparsely Vegetated</v>
      </c>
      <c r="G259" s="8">
        <f>IFERROR(VLOOKUP(F259,'ESVD - Database'!$C$3:$E$112,3,FALSE),0)</f>
        <v>1127</v>
      </c>
    </row>
    <row r="260" spans="1:7" x14ac:dyDescent="0.25">
      <c r="A260" s="92"/>
      <c r="B260" s="11" t="s">
        <v>1029</v>
      </c>
      <c r="C260" s="11" t="s">
        <v>244</v>
      </c>
      <c r="D260" s="8" t="str">
        <f t="shared" si="28"/>
        <v>Boreal MountainDryOther (Nominal) - Bare area, Snow and ice</v>
      </c>
      <c r="E260" s="8" t="str">
        <f>D260&amp;COUNTIF($D$2:D260,D260)</f>
        <v>Boreal MountainDryOther (Nominal) - Bare area, Snow and ice2</v>
      </c>
      <c r="F260" s="8" t="str">
        <f>HLOOKUP('ESVD - SUMMARY TABLE'!B260,'ESVD - Land Use &amp; Climate Match'!$B$32:$V$37,3,FALSE)</f>
        <v>High Mountain – snow and ice</v>
      </c>
      <c r="G260" s="8">
        <f>IFERROR(VLOOKUP(F260,'ESVD - Database'!$C$3:$E$112,3,FALSE),0)</f>
        <v>1127</v>
      </c>
    </row>
    <row r="261" spans="1:7" x14ac:dyDescent="0.25">
      <c r="A261" s="92"/>
      <c r="B261" s="11" t="s">
        <v>1029</v>
      </c>
      <c r="C261" s="11" t="s">
        <v>244</v>
      </c>
      <c r="D261" s="8" t="str">
        <f t="shared" si="28"/>
        <v>Boreal MountainDryOther (Nominal) - Bare area, Snow and ice</v>
      </c>
      <c r="E261" s="8" t="str">
        <f>D261&amp;COUNTIF($D$2:D261,D261)</f>
        <v>Boreal MountainDryOther (Nominal) - Bare area, Snow and ice3</v>
      </c>
      <c r="F261" s="8" t="str">
        <f>HLOOKUP('ESVD - SUMMARY TABLE'!B261,'ESVD - Land Use &amp; Climate Match'!$B$32:$V$37,4,FALSE)</f>
        <v>Polar</v>
      </c>
      <c r="G261" s="8">
        <f>IFERROR(VLOOKUP(F261,'ESVD - Database'!$C$3:$E$112,3,FALSE),0)</f>
        <v>1127</v>
      </c>
    </row>
    <row r="262" spans="1:7" x14ac:dyDescent="0.25">
      <c r="A262" s="92"/>
      <c r="B262" s="11" t="s">
        <v>1029</v>
      </c>
      <c r="C262" s="11" t="s">
        <v>244</v>
      </c>
      <c r="D262" s="8" t="str">
        <f t="shared" si="28"/>
        <v>Boreal MountainDryOther (Nominal) - Bare area, Snow and ice</v>
      </c>
      <c r="E262" s="8" t="str">
        <f>D262&amp;COUNTIF($D$2:D262,D262)</f>
        <v>Boreal MountainDryOther (Nominal) - Bare area, Snow and ice4</v>
      </c>
      <c r="F262" s="8" t="str">
        <f>HLOOKUP('ESVD - SUMMARY TABLE'!B262,'ESVD - Land Use &amp; Climate Match'!$B$32:$V$37,5,FALSE)</f>
        <v>True desert (sand/rock/salt)</v>
      </c>
      <c r="G262" s="8">
        <f>IFERROR(VLOOKUP(F262,'ESVD - Database'!$C$3:$E$112,3,FALSE),0)</f>
        <v>1127</v>
      </c>
    </row>
    <row r="263" spans="1:7" x14ac:dyDescent="0.25">
      <c r="A263" s="92"/>
      <c r="B263" s="11" t="s">
        <v>1029</v>
      </c>
      <c r="C263" s="11" t="s">
        <v>244</v>
      </c>
      <c r="D263" s="8" t="str">
        <f t="shared" si="28"/>
        <v>Boreal MountainDryOther (Nominal) - Bare area, Snow and ice</v>
      </c>
      <c r="E263" s="8" t="str">
        <f>D263&amp;COUNTIF($D$2:D263,D263)</f>
        <v>Boreal MountainDryOther (Nominal) - Bare area, Snow and ice5</v>
      </c>
      <c r="F263" s="8" t="str">
        <f>HLOOKUP('ESVD - SUMMARY TABLE'!B263,'ESVD - Land Use &amp; Climate Match'!$B$32:$V$37,6,FALSE)</f>
        <v>Semi-desert</v>
      </c>
      <c r="G263" s="8">
        <f>IFERROR(VLOOKUP(F263,'ESVD - Database'!$C$3:$E$112,3,FALSE),0)</f>
        <v>1127</v>
      </c>
    </row>
    <row r="264" spans="1:7" x14ac:dyDescent="0.25">
      <c r="A264" s="92"/>
      <c r="B264" s="11" t="s">
        <v>1023</v>
      </c>
      <c r="C264" s="11" t="s">
        <v>244</v>
      </c>
      <c r="D264" s="8" t="str">
        <f t="shared" ref="D264:D271" si="29">CONCATENATE(B264,C264)</f>
        <v>PolarMoistOther (Nominal) - Bare area, Snow and ice</v>
      </c>
      <c r="E264" s="8" t="str">
        <f>D264&amp;COUNTIF($D$2:D264,D264)</f>
        <v>PolarMoistOther (Nominal) - Bare area, Snow and ice1</v>
      </c>
      <c r="F264" s="8" t="str">
        <f>HLOOKUP('ESVD - SUMMARY TABLE'!B264,'ESVD - Land Use &amp; Climate Match'!$B$32:$V$37,2,FALSE)</f>
        <v>Inland Un- or Sparsely Vegetated</v>
      </c>
      <c r="G264" s="8">
        <f>IFERROR(VLOOKUP(F264,'ESVD - Database'!$C$3:$E$112,3,FALSE),0)</f>
        <v>1127</v>
      </c>
    </row>
    <row r="265" spans="1:7" x14ac:dyDescent="0.25">
      <c r="A265" s="92"/>
      <c r="B265" s="11" t="s">
        <v>1023</v>
      </c>
      <c r="C265" s="11" t="s">
        <v>244</v>
      </c>
      <c r="D265" s="8" t="str">
        <f t="shared" si="29"/>
        <v>PolarMoistOther (Nominal) - Bare area, Snow and ice</v>
      </c>
      <c r="E265" s="8" t="str">
        <f>D265&amp;COUNTIF($D$2:D265,D265)</f>
        <v>PolarMoistOther (Nominal) - Bare area, Snow and ice2</v>
      </c>
      <c r="F265" s="8" t="str">
        <f>HLOOKUP('ESVD - SUMMARY TABLE'!B265,'ESVD - Land Use &amp; Climate Match'!$B$32:$V$37,3,FALSE)</f>
        <v>High Mountain – snow and ice</v>
      </c>
      <c r="G265" s="8">
        <f>IFERROR(VLOOKUP(F265,'ESVD - Database'!$C$3:$E$112,3,FALSE),0)</f>
        <v>1127</v>
      </c>
    </row>
    <row r="266" spans="1:7" x14ac:dyDescent="0.25">
      <c r="A266" s="92"/>
      <c r="B266" s="11" t="s">
        <v>1023</v>
      </c>
      <c r="C266" s="11" t="s">
        <v>244</v>
      </c>
      <c r="D266" s="8" t="str">
        <f t="shared" si="29"/>
        <v>PolarMoistOther (Nominal) - Bare area, Snow and ice</v>
      </c>
      <c r="E266" s="8" t="str">
        <f>D266&amp;COUNTIF($D$2:D266,D266)</f>
        <v>PolarMoistOther (Nominal) - Bare area, Snow and ice3</v>
      </c>
      <c r="F266" s="8" t="str">
        <f>HLOOKUP('ESVD - SUMMARY TABLE'!B266,'ESVD - Land Use &amp; Climate Match'!$B$32:$V$37,4,FALSE)</f>
        <v>Polar</v>
      </c>
      <c r="G266" s="8">
        <f>IFERROR(VLOOKUP(F266,'ESVD - Database'!$C$3:$E$112,3,FALSE),0)</f>
        <v>1127</v>
      </c>
    </row>
    <row r="267" spans="1:7" x14ac:dyDescent="0.25">
      <c r="A267" s="92"/>
      <c r="B267" s="11" t="s">
        <v>1022</v>
      </c>
      <c r="C267" s="11" t="s">
        <v>244</v>
      </c>
      <c r="D267" s="8" t="str">
        <f t="shared" si="29"/>
        <v>PolarDryOther (Nominal) - Bare area, Snow and ice</v>
      </c>
      <c r="E267" s="8" t="str">
        <f>D267&amp;COUNTIF($D$2:D267,D267)</f>
        <v>PolarDryOther (Nominal) - Bare area, Snow and ice1</v>
      </c>
      <c r="F267" s="8" t="str">
        <f>HLOOKUP('ESVD - SUMMARY TABLE'!B267,'ESVD - Land Use &amp; Climate Match'!$B$32:$V$37,2,FALSE)</f>
        <v>Inland Un- or Sparsely Vegetated</v>
      </c>
      <c r="G267" s="8">
        <f>IFERROR(VLOOKUP(F267,'ESVD - Database'!$C$3:$E$112,3,FALSE),0)</f>
        <v>1127</v>
      </c>
    </row>
    <row r="268" spans="1:7" x14ac:dyDescent="0.25">
      <c r="A268" s="92"/>
      <c r="B268" s="11" t="s">
        <v>1022</v>
      </c>
      <c r="C268" s="11" t="s">
        <v>244</v>
      </c>
      <c r="D268" s="8" t="str">
        <f t="shared" si="29"/>
        <v>PolarDryOther (Nominal) - Bare area, Snow and ice</v>
      </c>
      <c r="E268" s="8" t="str">
        <f>D268&amp;COUNTIF($D$2:D268,D268)</f>
        <v>PolarDryOther (Nominal) - Bare area, Snow and ice2</v>
      </c>
      <c r="F268" s="8" t="str">
        <f>HLOOKUP('ESVD - SUMMARY TABLE'!B268,'ESVD - Land Use &amp; Climate Match'!$B$32:$V$37,3,FALSE)</f>
        <v>High Mountain – snow and ice</v>
      </c>
      <c r="G268" s="8">
        <f>IFERROR(VLOOKUP(F268,'ESVD - Database'!$C$3:$E$112,3,FALSE),0)</f>
        <v>1127</v>
      </c>
    </row>
    <row r="269" spans="1:7" x14ac:dyDescent="0.25">
      <c r="A269" s="92"/>
      <c r="B269" s="11" t="s">
        <v>1022</v>
      </c>
      <c r="C269" s="11" t="s">
        <v>244</v>
      </c>
      <c r="D269" s="8" t="str">
        <f t="shared" si="29"/>
        <v>PolarDryOther (Nominal) - Bare area, Snow and ice</v>
      </c>
      <c r="E269" s="8" t="str">
        <f>D269&amp;COUNTIF($D$2:D269,D269)</f>
        <v>PolarDryOther (Nominal) - Bare area, Snow and ice3</v>
      </c>
      <c r="F269" s="8" t="str">
        <f>HLOOKUP('ESVD - SUMMARY TABLE'!B269,'ESVD - Land Use &amp; Climate Match'!$B$32:$V$37,4,FALSE)</f>
        <v>Polar</v>
      </c>
      <c r="G269" s="8">
        <f>IFERROR(VLOOKUP(F269,'ESVD - Database'!$C$3:$E$112,3,FALSE),0)</f>
        <v>1127</v>
      </c>
    </row>
    <row r="270" spans="1:7" x14ac:dyDescent="0.25">
      <c r="A270" s="92"/>
      <c r="B270" s="11" t="s">
        <v>1022</v>
      </c>
      <c r="C270" s="11" t="s">
        <v>244</v>
      </c>
      <c r="D270" s="8" t="str">
        <f t="shared" si="29"/>
        <v>PolarDryOther (Nominal) - Bare area, Snow and ice</v>
      </c>
      <c r="E270" s="8" t="str">
        <f>D270&amp;COUNTIF($D$2:D270,D270)</f>
        <v>PolarDryOther (Nominal) - Bare area, Snow and ice4</v>
      </c>
      <c r="F270" s="8" t="str">
        <f>HLOOKUP('ESVD - SUMMARY TABLE'!B270,'ESVD - Land Use &amp; Climate Match'!$B$32:$V$37,5,FALSE)</f>
        <v>True desert (sand/rock/salt)</v>
      </c>
      <c r="G270" s="8">
        <f>IFERROR(VLOOKUP(F270,'ESVD - Database'!$C$3:$E$112,3,FALSE),0)</f>
        <v>1127</v>
      </c>
    </row>
    <row r="271" spans="1:7" x14ac:dyDescent="0.25">
      <c r="A271" s="92"/>
      <c r="B271" s="11" t="s">
        <v>1022</v>
      </c>
      <c r="C271" s="11" t="s">
        <v>244</v>
      </c>
      <c r="D271" s="8" t="str">
        <f t="shared" si="29"/>
        <v>PolarDryOther (Nominal) - Bare area, Snow and ice</v>
      </c>
      <c r="E271" s="8" t="str">
        <f>D271&amp;COUNTIF($D$2:D271,D271)</f>
        <v>PolarDryOther (Nominal) - Bare area, Snow and ice5</v>
      </c>
      <c r="F271" s="8" t="str">
        <f>HLOOKUP('ESVD - SUMMARY TABLE'!B271,'ESVD - Land Use &amp; Climate Match'!$B$32:$V$37,6,FALSE)</f>
        <v>Semi-desert</v>
      </c>
      <c r="G271" s="8">
        <f>IFERROR(VLOOKUP(F271,'ESVD - Database'!$C$3:$E$112,3,FALSE),0)</f>
        <v>1127</v>
      </c>
    </row>
    <row r="272" spans="1:7" x14ac:dyDescent="0.25">
      <c r="A272" s="92"/>
      <c r="B272" s="11" t="s">
        <v>1030</v>
      </c>
      <c r="C272" s="11" t="s">
        <v>244</v>
      </c>
      <c r="D272" s="8" t="str">
        <f t="shared" ref="D272:D279" si="30">CONCATENATE(B272,C272)</f>
        <v>Polar MountainMoistOther (Nominal) - Bare area, Snow and ice</v>
      </c>
      <c r="E272" s="8" t="str">
        <f>D272&amp;COUNTIF($D$2:D272,D272)</f>
        <v>Polar MountainMoistOther (Nominal) - Bare area, Snow and ice1</v>
      </c>
      <c r="F272" s="8" t="str">
        <f>HLOOKUP('ESVD - SUMMARY TABLE'!B272,'ESVD - Land Use &amp; Climate Match'!$B$32:$V$37,2,FALSE)</f>
        <v>Inland Un- or Sparsely Vegetated</v>
      </c>
      <c r="G272" s="8">
        <f>IFERROR(VLOOKUP(F272,'ESVD - Database'!$C$3:$E$112,3,FALSE),0)</f>
        <v>1127</v>
      </c>
    </row>
    <row r="273" spans="1:7" x14ac:dyDescent="0.25">
      <c r="A273" s="92"/>
      <c r="B273" s="11" t="s">
        <v>1030</v>
      </c>
      <c r="C273" s="11" t="s">
        <v>244</v>
      </c>
      <c r="D273" s="8" t="str">
        <f t="shared" si="30"/>
        <v>Polar MountainMoistOther (Nominal) - Bare area, Snow and ice</v>
      </c>
      <c r="E273" s="8" t="str">
        <f>D273&amp;COUNTIF($D$2:D273,D273)</f>
        <v>Polar MountainMoistOther (Nominal) - Bare area, Snow and ice2</v>
      </c>
      <c r="F273" s="8" t="str">
        <f>HLOOKUP('ESVD - SUMMARY TABLE'!B273,'ESVD - Land Use &amp; Climate Match'!$B$32:$V$37,3,FALSE)</f>
        <v>High Mountain – snow and ice</v>
      </c>
      <c r="G273" s="8">
        <f>IFERROR(VLOOKUP(F273,'ESVD - Database'!$C$3:$E$112,3,FALSE),0)</f>
        <v>1127</v>
      </c>
    </row>
    <row r="274" spans="1:7" x14ac:dyDescent="0.25">
      <c r="A274" s="92"/>
      <c r="B274" s="11" t="s">
        <v>1030</v>
      </c>
      <c r="C274" s="11" t="s">
        <v>244</v>
      </c>
      <c r="D274" s="8" t="str">
        <f t="shared" si="30"/>
        <v>Polar MountainMoistOther (Nominal) - Bare area, Snow and ice</v>
      </c>
      <c r="E274" s="8" t="str">
        <f>D274&amp;COUNTIF($D$2:D274,D274)</f>
        <v>Polar MountainMoistOther (Nominal) - Bare area, Snow and ice3</v>
      </c>
      <c r="F274" s="8" t="str">
        <f>HLOOKUP('ESVD - SUMMARY TABLE'!B274,'ESVD - Land Use &amp; Climate Match'!$B$32:$V$37,4,FALSE)</f>
        <v>Polar</v>
      </c>
      <c r="G274" s="8">
        <f>IFERROR(VLOOKUP(F274,'ESVD - Database'!$C$3:$E$112,3,FALSE),0)</f>
        <v>1127</v>
      </c>
    </row>
    <row r="275" spans="1:7" x14ac:dyDescent="0.25">
      <c r="A275" s="92"/>
      <c r="B275" s="11" t="s">
        <v>1031</v>
      </c>
      <c r="C275" s="11" t="s">
        <v>244</v>
      </c>
      <c r="D275" s="8" t="str">
        <f t="shared" si="30"/>
        <v>Polar MountainDryOther (Nominal) - Bare area, Snow and ice</v>
      </c>
      <c r="E275" s="8" t="str">
        <f>D275&amp;COUNTIF($D$2:D275,D275)</f>
        <v>Polar MountainDryOther (Nominal) - Bare area, Snow and ice1</v>
      </c>
      <c r="F275" s="8" t="str">
        <f>HLOOKUP('ESVD - SUMMARY TABLE'!B275,'ESVD - Land Use &amp; Climate Match'!$B$32:$V$37,2,FALSE)</f>
        <v>Inland Un- or Sparsely Vegetated</v>
      </c>
      <c r="G275" s="8">
        <f>IFERROR(VLOOKUP(F275,'ESVD - Database'!$C$3:$E$112,3,FALSE),0)</f>
        <v>1127</v>
      </c>
    </row>
    <row r="276" spans="1:7" x14ac:dyDescent="0.25">
      <c r="A276" s="92"/>
      <c r="B276" s="11" t="s">
        <v>1031</v>
      </c>
      <c r="C276" s="11" t="s">
        <v>244</v>
      </c>
      <c r="D276" s="8" t="str">
        <f t="shared" si="30"/>
        <v>Polar MountainDryOther (Nominal) - Bare area, Snow and ice</v>
      </c>
      <c r="E276" s="8" t="str">
        <f>D276&amp;COUNTIF($D$2:D276,D276)</f>
        <v>Polar MountainDryOther (Nominal) - Bare area, Snow and ice2</v>
      </c>
      <c r="F276" s="8" t="str">
        <f>HLOOKUP('ESVD - SUMMARY TABLE'!B276,'ESVD - Land Use &amp; Climate Match'!$B$32:$V$37,3,FALSE)</f>
        <v>High Mountain – snow and ice</v>
      </c>
      <c r="G276" s="8">
        <f>IFERROR(VLOOKUP(F276,'ESVD - Database'!$C$3:$E$112,3,FALSE),0)</f>
        <v>1127</v>
      </c>
    </row>
    <row r="277" spans="1:7" x14ac:dyDescent="0.25">
      <c r="A277" s="92"/>
      <c r="B277" s="11" t="s">
        <v>1031</v>
      </c>
      <c r="C277" s="11" t="s">
        <v>244</v>
      </c>
      <c r="D277" s="8" t="str">
        <f t="shared" si="30"/>
        <v>Polar MountainDryOther (Nominal) - Bare area, Snow and ice</v>
      </c>
      <c r="E277" s="8" t="str">
        <f>D277&amp;COUNTIF($D$2:D277,D277)</f>
        <v>Polar MountainDryOther (Nominal) - Bare area, Snow and ice3</v>
      </c>
      <c r="F277" s="8" t="str">
        <f>HLOOKUP('ESVD - SUMMARY TABLE'!B277,'ESVD - Land Use &amp; Climate Match'!$B$32:$V$37,4,FALSE)</f>
        <v>Polar</v>
      </c>
      <c r="G277" s="8">
        <f>IFERROR(VLOOKUP(F277,'ESVD - Database'!$C$3:$E$112,3,FALSE),0)</f>
        <v>1127</v>
      </c>
    </row>
    <row r="278" spans="1:7" x14ac:dyDescent="0.25">
      <c r="A278" s="92"/>
      <c r="B278" s="11" t="s">
        <v>1031</v>
      </c>
      <c r="C278" s="11" t="s">
        <v>244</v>
      </c>
      <c r="D278" s="8" t="str">
        <f t="shared" si="30"/>
        <v>Polar MountainDryOther (Nominal) - Bare area, Snow and ice</v>
      </c>
      <c r="E278" s="8" t="str">
        <f>D278&amp;COUNTIF($D$2:D278,D278)</f>
        <v>Polar MountainDryOther (Nominal) - Bare area, Snow and ice4</v>
      </c>
      <c r="F278" s="8" t="str">
        <f>HLOOKUP('ESVD - SUMMARY TABLE'!B278,'ESVD - Land Use &amp; Climate Match'!$B$32:$V$37,5,FALSE)</f>
        <v>True desert (sand/rock/salt)</v>
      </c>
      <c r="G278" s="8">
        <f>IFERROR(VLOOKUP(F278,'ESVD - Database'!$C$3:$E$112,3,FALSE),0)</f>
        <v>1127</v>
      </c>
    </row>
    <row r="279" spans="1:7" x14ac:dyDescent="0.25">
      <c r="A279" s="92"/>
      <c r="B279" s="11" t="s">
        <v>1031</v>
      </c>
      <c r="C279" s="11" t="s">
        <v>244</v>
      </c>
      <c r="D279" s="8" t="str">
        <f t="shared" si="30"/>
        <v>Polar MountainDryOther (Nominal) - Bare area, Snow and ice</v>
      </c>
      <c r="E279" s="8" t="str">
        <f>D279&amp;COUNTIF($D$2:D279,D279)</f>
        <v>Polar MountainDryOther (Nominal) - Bare area, Snow and ice5</v>
      </c>
      <c r="F279" s="8" t="str">
        <f>HLOOKUP('ESVD - SUMMARY TABLE'!B279,'ESVD - Land Use &amp; Climate Match'!$B$32:$V$37,6,FALSE)</f>
        <v>Semi-desert</v>
      </c>
      <c r="G279" s="8">
        <f>IFERROR(VLOOKUP(F279,'ESVD - Database'!$C$3:$E$112,3,FALSE),0)</f>
        <v>1127</v>
      </c>
    </row>
    <row r="280" spans="1:7" x14ac:dyDescent="0.25">
      <c r="A280" s="89"/>
      <c r="B280" s="8" t="s">
        <v>643</v>
      </c>
      <c r="C280" s="8" t="s">
        <v>270</v>
      </c>
      <c r="D280" s="8" t="str">
        <f t="shared" si="25"/>
        <v>TropicalWetOther (Degraded)</v>
      </c>
      <c r="E280" s="8" t="str">
        <f>D280&amp;COUNTIF($D$2:D280,D280)</f>
        <v>TropicalWetOther (Degraded)1</v>
      </c>
      <c r="F280" s="8" t="str">
        <f>HLOOKUP('ESVD - SUMMARY TABLE'!B280,'ESVD - Land Use &amp; Climate Match'!$B$39:$V$41,2,FALSE)</f>
        <v>NA</v>
      </c>
      <c r="G280" s="8">
        <f>IFERROR(VLOOKUP(F280,'ESVD - Database'!$C$3:$E$112,3,FALSE),0)</f>
        <v>0</v>
      </c>
    </row>
    <row r="281" spans="1:7" x14ac:dyDescent="0.25">
      <c r="A281" s="89"/>
      <c r="B281" s="8" t="s">
        <v>644</v>
      </c>
      <c r="C281" s="8" t="s">
        <v>270</v>
      </c>
      <c r="D281" s="8" t="str">
        <f t="shared" ref="D281:D299" si="31">CONCATENATE(B281,C281)</f>
        <v>TropicalMoistOther (Degraded)</v>
      </c>
      <c r="E281" s="8" t="str">
        <f>D281&amp;COUNTIF($D$2:D281,D281)</f>
        <v>TropicalMoistOther (Degraded)1</v>
      </c>
      <c r="F281" s="8" t="str">
        <f>HLOOKUP('ESVD - SUMMARY TABLE'!B281,'ESVD - Land Use &amp; Climate Match'!$B$39:$V$41,2,FALSE)</f>
        <v>NA</v>
      </c>
      <c r="G281" s="8">
        <f>IFERROR(VLOOKUP(F281,'ESVD - Database'!$C$3:$E$112,3,FALSE),0)</f>
        <v>0</v>
      </c>
    </row>
    <row r="282" spans="1:7" x14ac:dyDescent="0.25">
      <c r="A282" s="89"/>
      <c r="B282" s="8" t="s">
        <v>645</v>
      </c>
      <c r="C282" s="8" t="s">
        <v>270</v>
      </c>
      <c r="D282" s="8" t="str">
        <f t="shared" si="31"/>
        <v>TropicalDryOther (Degraded)</v>
      </c>
      <c r="E282" s="8" t="str">
        <f>D282&amp;COUNTIF($D$2:D282,D282)</f>
        <v>TropicalDryOther (Degraded)1</v>
      </c>
      <c r="F282" s="8" t="str">
        <f>HLOOKUP('ESVD - SUMMARY TABLE'!B282,'ESVD - Land Use &amp; Climate Match'!$B$39:$V$41,2,FALSE)</f>
        <v>NA</v>
      </c>
      <c r="G282" s="8">
        <f>IFERROR(VLOOKUP(F282,'ESVD - Database'!$C$3:$E$112,3,FALSE),0)</f>
        <v>0</v>
      </c>
    </row>
    <row r="283" spans="1:7" x14ac:dyDescent="0.25">
      <c r="A283" s="89"/>
      <c r="B283" s="8" t="s">
        <v>646</v>
      </c>
      <c r="C283" s="8" t="s">
        <v>270</v>
      </c>
      <c r="D283" s="8" t="str">
        <f t="shared" si="31"/>
        <v>Tropical MountainMoistOther (Degraded)</v>
      </c>
      <c r="E283" s="8" t="str">
        <f>D283&amp;COUNTIF($D$2:D283,D283)</f>
        <v>Tropical MountainMoistOther (Degraded)1</v>
      </c>
      <c r="F283" s="8" t="str">
        <f>HLOOKUP('ESVD - SUMMARY TABLE'!B283,'ESVD - Land Use &amp; Climate Match'!$B$39:$V$41,2,FALSE)</f>
        <v>NA</v>
      </c>
      <c r="G283" s="8">
        <f>IFERROR(VLOOKUP(F283,'ESVD - Database'!$C$3:$E$112,3,FALSE),0)</f>
        <v>0</v>
      </c>
    </row>
    <row r="284" spans="1:7" x14ac:dyDescent="0.25">
      <c r="A284" s="89"/>
      <c r="B284" s="8" t="s">
        <v>647</v>
      </c>
      <c r="C284" s="8" t="s">
        <v>270</v>
      </c>
      <c r="D284" s="8" t="str">
        <f t="shared" si="31"/>
        <v>Tropical MountainDryOther (Degraded)</v>
      </c>
      <c r="E284" s="8" t="str">
        <f>D284&amp;COUNTIF($D$2:D284,D284)</f>
        <v>Tropical MountainDryOther (Degraded)1</v>
      </c>
      <c r="F284" s="8" t="str">
        <f>HLOOKUP('ESVD - SUMMARY TABLE'!B284,'ESVD - Land Use &amp; Climate Match'!$B$39:$V$41,2,FALSE)</f>
        <v>NA</v>
      </c>
      <c r="G284" s="8">
        <f>IFERROR(VLOOKUP(F284,'ESVD - Database'!$C$3:$E$112,3,FALSE),0)</f>
        <v>0</v>
      </c>
    </row>
    <row r="285" spans="1:7" x14ac:dyDescent="0.25">
      <c r="A285" s="89"/>
      <c r="B285" s="8" t="s">
        <v>648</v>
      </c>
      <c r="C285" s="8" t="s">
        <v>270</v>
      </c>
      <c r="D285" s="8" t="str">
        <f t="shared" si="31"/>
        <v>Warm TemperateMoistOther (Degraded)</v>
      </c>
      <c r="E285" s="8" t="str">
        <f>D285&amp;COUNTIF($D$2:D285,D285)</f>
        <v>Warm TemperateMoistOther (Degraded)1</v>
      </c>
      <c r="F285" s="8" t="str">
        <f>HLOOKUP('ESVD - SUMMARY TABLE'!B285,'ESVD - Land Use &amp; Climate Match'!$B$39:$V$41,2,FALSE)</f>
        <v>NA</v>
      </c>
      <c r="G285" s="8">
        <f>IFERROR(VLOOKUP(F285,'ESVD - Database'!$C$3:$E$112,3,FALSE),0)</f>
        <v>0</v>
      </c>
    </row>
    <row r="286" spans="1:7" x14ac:dyDescent="0.25">
      <c r="A286" s="89"/>
      <c r="B286" s="8" t="s">
        <v>649</v>
      </c>
      <c r="C286" s="8" t="s">
        <v>270</v>
      </c>
      <c r="D286" s="8" t="str">
        <f t="shared" si="31"/>
        <v>Warm TemperateDryOther (Degraded)</v>
      </c>
      <c r="E286" s="8" t="str">
        <f>D286&amp;COUNTIF($D$2:D286,D286)</f>
        <v>Warm TemperateDryOther (Degraded)1</v>
      </c>
      <c r="F286" s="8" t="str">
        <f>HLOOKUP('ESVD - SUMMARY TABLE'!B286,'ESVD - Land Use &amp; Climate Match'!$B$39:$V$41,2,FALSE)</f>
        <v>NA</v>
      </c>
      <c r="G286" s="8">
        <f>IFERROR(VLOOKUP(F286,'ESVD - Database'!$C$3:$E$112,3,FALSE),0)</f>
        <v>0</v>
      </c>
    </row>
    <row r="287" spans="1:7" x14ac:dyDescent="0.25">
      <c r="A287" s="89"/>
      <c r="B287" s="11" t="s">
        <v>1024</v>
      </c>
      <c r="C287" s="8" t="s">
        <v>270</v>
      </c>
      <c r="D287" s="8" t="str">
        <f t="shared" si="31"/>
        <v>Warm Temperate MountainMoistOther (Degraded)</v>
      </c>
      <c r="E287" s="8" t="str">
        <f>D287&amp;COUNTIF($D$2:D287,D287)</f>
        <v>Warm Temperate MountainMoistOther (Degraded)1</v>
      </c>
      <c r="F287" s="8" t="str">
        <f>HLOOKUP('ESVD - SUMMARY TABLE'!B287,'ESVD - Land Use &amp; Climate Match'!$B$39:$V$41,2,FALSE)</f>
        <v>NA</v>
      </c>
      <c r="G287" s="8">
        <f>IFERROR(VLOOKUP(F287,'ESVD - Database'!$C$3:$E$112,3,FALSE),0)</f>
        <v>0</v>
      </c>
    </row>
    <row r="288" spans="1:7" x14ac:dyDescent="0.25">
      <c r="A288" s="89"/>
      <c r="B288" s="11" t="s">
        <v>1025</v>
      </c>
      <c r="C288" s="8" t="s">
        <v>270</v>
      </c>
      <c r="D288" s="8" t="str">
        <f t="shared" si="31"/>
        <v>Warm Temperate MountainDryOther (Degraded)</v>
      </c>
      <c r="E288" s="8" t="str">
        <f>D288&amp;COUNTIF($D$2:D288,D288)</f>
        <v>Warm Temperate MountainDryOther (Degraded)1</v>
      </c>
      <c r="F288" s="8" t="str">
        <f>HLOOKUP('ESVD - SUMMARY TABLE'!B288,'ESVD - Land Use &amp; Climate Match'!$B$39:$V$41,2,FALSE)</f>
        <v>NA</v>
      </c>
      <c r="G288" s="8">
        <f>IFERROR(VLOOKUP(F288,'ESVD - Database'!$C$3:$E$112,3,FALSE),0)</f>
        <v>0</v>
      </c>
    </row>
    <row r="289" spans="1:7" x14ac:dyDescent="0.25">
      <c r="A289" s="89"/>
      <c r="B289" s="8" t="s">
        <v>650</v>
      </c>
      <c r="C289" s="8" t="s">
        <v>270</v>
      </c>
      <c r="D289" s="8" t="str">
        <f t="shared" si="31"/>
        <v>Cool TemperateMoistOther (Degraded)</v>
      </c>
      <c r="E289" s="8" t="str">
        <f>D289&amp;COUNTIF($D$2:D289,D289)</f>
        <v>Cool TemperateMoistOther (Degraded)1</v>
      </c>
      <c r="F289" s="8" t="str">
        <f>HLOOKUP('ESVD - SUMMARY TABLE'!B289,'ESVD - Land Use &amp; Climate Match'!$B$39:$V$41,2,FALSE)</f>
        <v>NA</v>
      </c>
      <c r="G289" s="8">
        <f>IFERROR(VLOOKUP(F289,'ESVD - Database'!$C$3:$E$112,3,FALSE),0)</f>
        <v>0</v>
      </c>
    </row>
    <row r="290" spans="1:7" x14ac:dyDescent="0.25">
      <c r="A290" s="89"/>
      <c r="B290" s="8" t="s">
        <v>651</v>
      </c>
      <c r="C290" s="8" t="s">
        <v>270</v>
      </c>
      <c r="D290" s="8" t="str">
        <f t="shared" si="31"/>
        <v>Cool TemperateDryOther (Degraded)</v>
      </c>
      <c r="E290" s="8" t="str">
        <f>D290&amp;COUNTIF($D$2:D290,D290)</f>
        <v>Cool TemperateDryOther (Degraded)1</v>
      </c>
      <c r="F290" s="8" t="str">
        <f>HLOOKUP('ESVD - SUMMARY TABLE'!B290,'ESVD - Land Use &amp; Climate Match'!$B$39:$V$41,2,FALSE)</f>
        <v>NA</v>
      </c>
      <c r="G290" s="8">
        <f>IFERROR(VLOOKUP(F290,'ESVD - Database'!$C$3:$E$112,3,FALSE),0)</f>
        <v>0</v>
      </c>
    </row>
    <row r="291" spans="1:7" x14ac:dyDescent="0.25">
      <c r="A291" s="89"/>
      <c r="B291" s="11" t="s">
        <v>1026</v>
      </c>
      <c r="C291" s="8" t="s">
        <v>270</v>
      </c>
      <c r="D291" s="8" t="str">
        <f t="shared" si="31"/>
        <v>Cool Temperate MountainMoistOther (Degraded)</v>
      </c>
      <c r="E291" s="8" t="str">
        <f>D291&amp;COUNTIF($D$2:D291,D291)</f>
        <v>Cool Temperate MountainMoistOther (Degraded)1</v>
      </c>
      <c r="F291" s="8" t="str">
        <f>HLOOKUP('ESVD - SUMMARY TABLE'!B291,'ESVD - Land Use &amp; Climate Match'!$B$39:$V$41,2,FALSE)</f>
        <v>NA</v>
      </c>
      <c r="G291" s="8">
        <f>IFERROR(VLOOKUP(F291,'ESVD - Database'!$C$3:$E$112,3,FALSE),0)</f>
        <v>0</v>
      </c>
    </row>
    <row r="292" spans="1:7" x14ac:dyDescent="0.25">
      <c r="A292" s="89"/>
      <c r="B292" s="11" t="s">
        <v>1027</v>
      </c>
      <c r="C292" s="8" t="s">
        <v>270</v>
      </c>
      <c r="D292" s="8" t="str">
        <f t="shared" si="31"/>
        <v>Cool Temperate MountainDryOther (Degraded)</v>
      </c>
      <c r="E292" s="8" t="str">
        <f>D292&amp;COUNTIF($D$2:D292,D292)</f>
        <v>Cool Temperate MountainDryOther (Degraded)1</v>
      </c>
      <c r="F292" s="8" t="str">
        <f>HLOOKUP('ESVD - SUMMARY TABLE'!B292,'ESVD - Land Use &amp; Climate Match'!$B$39:$V$41,2,FALSE)</f>
        <v>NA</v>
      </c>
      <c r="G292" s="8">
        <f>IFERROR(VLOOKUP(F292,'ESVD - Database'!$C$3:$E$112,3,FALSE),0)</f>
        <v>0</v>
      </c>
    </row>
    <row r="293" spans="1:7" x14ac:dyDescent="0.25">
      <c r="A293" s="89"/>
      <c r="B293" s="8" t="s">
        <v>652</v>
      </c>
      <c r="C293" s="8" t="s">
        <v>270</v>
      </c>
      <c r="D293" s="8" t="str">
        <f t="shared" si="31"/>
        <v>BorealMoistOther (Degraded)</v>
      </c>
      <c r="E293" s="8" t="str">
        <f>D293&amp;COUNTIF($D$2:D293,D293)</f>
        <v>BorealMoistOther (Degraded)1</v>
      </c>
      <c r="F293" s="8" t="str">
        <f>HLOOKUP('ESVD - SUMMARY TABLE'!B293,'ESVD - Land Use &amp; Climate Match'!$B$39:$V$41,2,FALSE)</f>
        <v>NA</v>
      </c>
      <c r="G293" s="8">
        <f>IFERROR(VLOOKUP(F293,'ESVD - Database'!$C$3:$E$112,3,FALSE),0)</f>
        <v>0</v>
      </c>
    </row>
    <row r="294" spans="1:7" x14ac:dyDescent="0.25">
      <c r="A294" s="89"/>
      <c r="B294" s="8" t="s">
        <v>653</v>
      </c>
      <c r="C294" s="8" t="s">
        <v>270</v>
      </c>
      <c r="D294" s="8" t="str">
        <f t="shared" si="31"/>
        <v>BorealDryOther (Degraded)</v>
      </c>
      <c r="E294" s="8" t="str">
        <f>D294&amp;COUNTIF($D$2:D294,D294)</f>
        <v>BorealDryOther (Degraded)1</v>
      </c>
      <c r="F294" s="8" t="str">
        <f>HLOOKUP('ESVD - SUMMARY TABLE'!B294,'ESVD - Land Use &amp; Climate Match'!$B$39:$V$41,2,FALSE)</f>
        <v>NA</v>
      </c>
      <c r="G294" s="8">
        <f>IFERROR(VLOOKUP(F294,'ESVD - Database'!$C$3:$E$112,3,FALSE),0)</f>
        <v>0</v>
      </c>
    </row>
    <row r="295" spans="1:7" x14ac:dyDescent="0.25">
      <c r="A295" s="89"/>
      <c r="B295" s="11" t="s">
        <v>1028</v>
      </c>
      <c r="C295" s="8" t="s">
        <v>270</v>
      </c>
      <c r="D295" s="8" t="str">
        <f t="shared" si="31"/>
        <v>Boreal MountainMoistOther (Degraded)</v>
      </c>
      <c r="E295" s="8" t="str">
        <f>D295&amp;COUNTIF($D$2:D295,D295)</f>
        <v>Boreal MountainMoistOther (Degraded)1</v>
      </c>
      <c r="F295" s="8" t="str">
        <f>HLOOKUP('ESVD - SUMMARY TABLE'!B295,'ESVD - Land Use &amp; Climate Match'!$B$39:$V$41,2,FALSE)</f>
        <v>NA</v>
      </c>
      <c r="G295" s="8">
        <f>IFERROR(VLOOKUP(F295,'ESVD - Database'!$C$3:$E$112,3,FALSE),0)</f>
        <v>0</v>
      </c>
    </row>
    <row r="296" spans="1:7" x14ac:dyDescent="0.25">
      <c r="A296" s="89"/>
      <c r="B296" s="11" t="s">
        <v>1029</v>
      </c>
      <c r="C296" s="8" t="s">
        <v>270</v>
      </c>
      <c r="D296" s="8" t="str">
        <f t="shared" si="31"/>
        <v>Boreal MountainDryOther (Degraded)</v>
      </c>
      <c r="E296" s="8" t="str">
        <f>D296&amp;COUNTIF($D$2:D296,D296)</f>
        <v>Boreal MountainDryOther (Degraded)1</v>
      </c>
      <c r="F296" s="8" t="str">
        <f>HLOOKUP('ESVD - SUMMARY TABLE'!B296,'ESVD - Land Use &amp; Climate Match'!$B$39:$V$41,2,FALSE)</f>
        <v>NA</v>
      </c>
      <c r="G296" s="8">
        <f>IFERROR(VLOOKUP(F296,'ESVD - Database'!$C$3:$E$112,3,FALSE),0)</f>
        <v>0</v>
      </c>
    </row>
    <row r="297" spans="1:7" x14ac:dyDescent="0.25">
      <c r="A297" s="89"/>
      <c r="B297" s="11" t="s">
        <v>1023</v>
      </c>
      <c r="C297" s="8" t="s">
        <v>270</v>
      </c>
      <c r="D297" s="8" t="str">
        <f t="shared" si="31"/>
        <v>PolarMoistOther (Degraded)</v>
      </c>
      <c r="E297" s="8" t="str">
        <f>D297&amp;COUNTIF($D$2:D297,D297)</f>
        <v>PolarMoistOther (Degraded)1</v>
      </c>
      <c r="F297" s="8" t="str">
        <f>HLOOKUP('ESVD - SUMMARY TABLE'!B297,'ESVD - Land Use &amp; Climate Match'!$B$39:$V$41,2,FALSE)</f>
        <v>NA</v>
      </c>
      <c r="G297" s="8">
        <f>IFERROR(VLOOKUP(F297,'ESVD - Database'!$C$3:$E$112,3,FALSE),0)</f>
        <v>0</v>
      </c>
    </row>
    <row r="298" spans="1:7" x14ac:dyDescent="0.25">
      <c r="A298" s="89"/>
      <c r="B298" s="11" t="s">
        <v>1022</v>
      </c>
      <c r="C298" s="8" t="s">
        <v>270</v>
      </c>
      <c r="D298" s="8" t="str">
        <f t="shared" si="31"/>
        <v>PolarDryOther (Degraded)</v>
      </c>
      <c r="E298" s="8" t="str">
        <f>D298&amp;COUNTIF($D$2:D298,D298)</f>
        <v>PolarDryOther (Degraded)1</v>
      </c>
      <c r="F298" s="8" t="str">
        <f>HLOOKUP('ESVD - SUMMARY TABLE'!B298,'ESVD - Land Use &amp; Climate Match'!$B$39:$V$41,2,FALSE)</f>
        <v>NA</v>
      </c>
      <c r="G298" s="8">
        <f>IFERROR(VLOOKUP(F298,'ESVD - Database'!$C$3:$E$112,3,FALSE),0)</f>
        <v>0</v>
      </c>
    </row>
    <row r="299" spans="1:7" x14ac:dyDescent="0.25">
      <c r="A299" s="369"/>
      <c r="B299" s="11" t="s">
        <v>1030</v>
      </c>
      <c r="C299" s="8" t="s">
        <v>270</v>
      </c>
      <c r="D299" s="8" t="str">
        <f t="shared" si="31"/>
        <v>Polar MountainMoistOther (Degraded)</v>
      </c>
      <c r="E299" s="8" t="str">
        <f>D299&amp;COUNTIF($D$2:D299,D299)</f>
        <v>Polar MountainMoistOther (Degraded)1</v>
      </c>
      <c r="F299" s="8" t="str">
        <f>HLOOKUP('ESVD - SUMMARY TABLE'!B299,'ESVD - Land Use &amp; Climate Match'!$B$39:$V$41,2,FALSE)</f>
        <v>NA</v>
      </c>
      <c r="G299" s="8">
        <f>IFERROR(VLOOKUP(F299,'ESVD - Database'!$C$3:$E$112,3,FALSE),0)</f>
        <v>0</v>
      </c>
    </row>
    <row r="300" spans="1:7" x14ac:dyDescent="0.25">
      <c r="A300" s="369"/>
      <c r="B300" s="11" t="s">
        <v>1031</v>
      </c>
      <c r="C300" s="8" t="s">
        <v>270</v>
      </c>
      <c r="D300" s="8" t="str">
        <f t="shared" ref="D300" si="32">CONCATENATE(B300,C300)</f>
        <v>Polar MountainDryOther (Degraded)</v>
      </c>
      <c r="E300" s="8" t="str">
        <f>D300&amp;COUNTIF($D$2:D300,D300)</f>
        <v>Polar MountainDryOther (Degraded)1</v>
      </c>
      <c r="F300" s="8" t="str">
        <f>HLOOKUP('ESVD - SUMMARY TABLE'!B300,'ESVD - Land Use &amp; Climate Match'!$B$39:$V$41,2,FALSE)</f>
        <v>NA</v>
      </c>
      <c r="G300" s="8">
        <f>IFERROR(VLOOKUP(F300,'ESVD - Database'!$C$3:$E$112,3,FALSE),0)</f>
        <v>0</v>
      </c>
    </row>
  </sheetData>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3">
    <tabColor theme="0"/>
  </sheetPr>
  <dimension ref="A1:P37"/>
  <sheetViews>
    <sheetView workbookViewId="0">
      <selection activeCell="H2" sqref="H2"/>
    </sheetView>
  </sheetViews>
  <sheetFormatPr defaultRowHeight="12.5" x14ac:dyDescent="0.25"/>
  <cols>
    <col min="8" max="8" width="9.1796875" style="3"/>
    <col min="10" max="10" width="11.26953125" customWidth="1"/>
  </cols>
  <sheetData>
    <row r="1" spans="1:16" x14ac:dyDescent="0.25">
      <c r="A1" s="3" t="s">
        <v>76</v>
      </c>
      <c r="B1" s="3" t="s">
        <v>13</v>
      </c>
      <c r="C1" s="3" t="s">
        <v>165</v>
      </c>
    </row>
    <row r="2" spans="1:16" x14ac:dyDescent="0.25">
      <c r="A2" s="3" t="str">
        <f>IF('Biodiversity Assessment'!K18="?","Artificial",'Biodiversity Assessment'!K18)</f>
        <v>Artificial</v>
      </c>
      <c r="B2" s="71" t="str">
        <f>'Biodiversity Assessment'!E18</f>
        <v>P1</v>
      </c>
      <c r="C2" s="71">
        <f>'Biodiversity Assessment'!M18</f>
        <v>0</v>
      </c>
      <c r="G2">
        <v>1</v>
      </c>
      <c r="H2" s="3" t="str">
        <f>CONCATENATE(IF(AND(C2&gt;0,$A$2=L2)," P1",),IF(AND($C$3&gt;0,$A$3=L2)," P2",),IF(AND($C$4&gt;0,$A$4=L2)," P3",),IF(AND($C$5&gt;0,$A$5=L2)," P4",),IF(AND($C$6&gt;0,$A$6=L2)," P5",),IF(AND($C$7&gt;0,$A$7=L2)," P6",),IF(AND($C$8&gt;0,$A$8=L2)," P7",),IF(AND($C$9&gt;0,$A$9=L2)," P8",),IF(AND($C$10&gt;0,$A$10=L2)," P9",),IF(AND($C$11&gt;0,$A$11=L2)," P10",),IF(AND($C$12&gt;0,$A$12=L2)," P11",),IF(AND($C$13&gt;0,$A$13=L2)," P12",),IF(AND($C$14&gt;0,$A$14=L2)," P13",),IF(AND($C$15&gt;0,$A$15=L2)," P14",),IF(AND($C$16&gt;0,$A$16=L2)," P15",),IF(AND($C$17&gt;0,$A$17=L2)," P16",),IF(AND($C$18&gt;0,$A$18=L2)," P17",),IF(AND($C$19&gt;0,$A$19=L2)," P18",),IF(AND($C$20&gt;0,$A$20=L2)," P19",),IF(AND($C$21&gt;0,$A$21=L2)," P20",),IF(AND($C$22&gt;0,$A$22=L2)," P21",),IF(AND($C$23&gt;0,$A$23=L2)," P22",),IF(AND($C$24&gt;0,$A$24=L2)," P23",),IF(AND($C$25&gt;0,$A$25=L2)," P24",),IF(AND($C$26&gt;0,$A$26=L2)," P25",),IF(AND($C$27&gt;0,$A$27=L2)," P26",),IF(AND($C$28&gt;0,$A$28=L2)," P27",),IF(AND($C$29&gt;0,$A$29=L2)," P28",),IF(AND($C$30&gt;0,$A$30=L2)," P29",),IF(AND($C$31&gt;0,$A$31=L2)," P30",))</f>
        <v/>
      </c>
      <c r="I2">
        <f>SUMIF(Table712[Fragmentation],L2,Table712[Area])</f>
        <v>0</v>
      </c>
      <c r="J2" s="3"/>
      <c r="L2">
        <v>1</v>
      </c>
    </row>
    <row r="3" spans="1:16" x14ac:dyDescent="0.25">
      <c r="A3" s="3" t="str">
        <f>IF('Biodiversity Assessment'!K19="?","Artificial",'Biodiversity Assessment'!K19)</f>
        <v>Artificial</v>
      </c>
      <c r="B3" s="71" t="str">
        <f>'Biodiversity Assessment'!E19</f>
        <v>P2</v>
      </c>
      <c r="C3" s="71">
        <f>'Biodiversity Assessment'!M19</f>
        <v>0</v>
      </c>
      <c r="G3">
        <v>2</v>
      </c>
      <c r="H3" s="3" t="str">
        <f t="shared" ref="H3:H32" si="0">CONCATENATE(IF(AND(C3&gt;0,$A$2=L3)," P1",),IF(AND($C$3&gt;0,$A$3=L3)," P2",),IF(AND($C$4&gt;0,$A$4=L3)," P3",),IF(AND($C$5&gt;0,$A$5=L3)," P4",),IF(AND($C$6&gt;0,$A$6=L3)," P5",),IF(AND($C$7&gt;0,$A$7=L3)," P6",),IF(AND($C$8&gt;0,$A$8=L3)," P7",),IF(AND($C$9&gt;0,$A$9=L3)," P8",),IF(AND($C$10&gt;0,$A$10=L3)," P9",),IF(AND($C$11&gt;0,$A$11=L3)," P10",),IF(AND($C$12&gt;0,$A$12=L3)," P11",),IF(AND($C$13&gt;0,$A$13=L3)," P12",),IF(AND($C$14&gt;0,$A$14=L3)," P13",),IF(AND($C$15&gt;0,$A$15=L3)," P14",),IF(AND($C$16&gt;0,$A$16=L3)," P15",),IF(AND($C$17&gt;0,$A$17=L3)," P16",),IF(AND($C$18&gt;0,$A$18=L3)," P17",),IF(AND($C$19&gt;0,$A$19=L3)," P18",),IF(AND($C$20&gt;0,$A$20=L3)," P19",),IF(AND($C$21&gt;0,$A$21=L3)," P20",),IF(AND($C$22&gt;0,$A$22=L3)," P21",),IF(AND($C$23&gt;0,$A$23=L3)," P22",),IF(AND($C$24&gt;0,$A$24=L3)," P23",),IF(AND($C$25&gt;0,$A$25=L3)," P24",),IF(AND($C$26&gt;0,$A$26=L3)," P25",),IF(AND($C$27&gt;0,$A$27=L3)," P26",),IF(AND($C$28&gt;0,$A$28=L3)," P27",),IF(AND($C$29&gt;0,$A$29=L3)," P28",),IF(AND($C$30&gt;0,$A$30=L3)," P29",),IF(AND($C$31&gt;0,$A$31=L3)," P30",))</f>
        <v/>
      </c>
      <c r="I3" s="3">
        <f>SUMIF(Table712[Fragmentation],L3,Table712[Area])</f>
        <v>0</v>
      </c>
      <c r="J3" s="3"/>
      <c r="L3">
        <v>2</v>
      </c>
      <c r="P3" s="3"/>
    </row>
    <row r="4" spans="1:16" x14ac:dyDescent="0.25">
      <c r="A4" s="3" t="str">
        <f>IF('Biodiversity Assessment'!K20="?","Artificial",'Biodiversity Assessment'!K20)</f>
        <v>Artificial</v>
      </c>
      <c r="B4" s="71" t="str">
        <f>'Biodiversity Assessment'!E20</f>
        <v>P3</v>
      </c>
      <c r="C4" s="71">
        <f>'Biodiversity Assessment'!M20</f>
        <v>0</v>
      </c>
      <c r="G4" s="3">
        <v>3</v>
      </c>
      <c r="H4" s="3" t="str">
        <f t="shared" si="0"/>
        <v/>
      </c>
      <c r="I4" s="3">
        <f>SUMIF(Table712[Fragmentation],L4,Table712[Area])</f>
        <v>0</v>
      </c>
      <c r="J4" s="3"/>
      <c r="L4" s="3">
        <v>3</v>
      </c>
    </row>
    <row r="5" spans="1:16" x14ac:dyDescent="0.25">
      <c r="A5" s="3" t="str">
        <f>IF('Biodiversity Assessment'!K21="?","Artificial",'Biodiversity Assessment'!K21)</f>
        <v>Artificial</v>
      </c>
      <c r="B5" s="71" t="str">
        <f>'Biodiversity Assessment'!E21</f>
        <v>P4</v>
      </c>
      <c r="C5" s="71">
        <f>'Biodiversity Assessment'!M21</f>
        <v>0</v>
      </c>
      <c r="G5" s="3">
        <v>4</v>
      </c>
      <c r="H5" s="3" t="str">
        <f t="shared" si="0"/>
        <v/>
      </c>
      <c r="I5" s="3">
        <f>SUMIF(Table712[Fragmentation],L5,Table712[Area])</f>
        <v>0</v>
      </c>
      <c r="J5" s="3"/>
      <c r="L5" s="3">
        <v>4</v>
      </c>
    </row>
    <row r="6" spans="1:16" x14ac:dyDescent="0.25">
      <c r="A6" s="3" t="str">
        <f>IF('Biodiversity Assessment'!K22="?","Artificial",'Biodiversity Assessment'!K22)</f>
        <v>Artificial</v>
      </c>
      <c r="B6" s="71" t="str">
        <f>'Biodiversity Assessment'!E22</f>
        <v>P5</v>
      </c>
      <c r="C6" s="71">
        <f>'Biodiversity Assessment'!M22</f>
        <v>0</v>
      </c>
      <c r="G6" s="3">
        <v>5</v>
      </c>
      <c r="H6" s="3" t="str">
        <f t="shared" si="0"/>
        <v/>
      </c>
      <c r="I6" s="3">
        <f>SUMIF(Table712[Fragmentation],L6,Table712[Area])</f>
        <v>0</v>
      </c>
      <c r="J6" s="3"/>
      <c r="L6" s="3">
        <v>5</v>
      </c>
    </row>
    <row r="7" spans="1:16" x14ac:dyDescent="0.25">
      <c r="A7" s="3" t="str">
        <f>IF('Biodiversity Assessment'!K23="?","Artificial",'Biodiversity Assessment'!K23)</f>
        <v>Artificial</v>
      </c>
      <c r="B7" s="71" t="str">
        <f>'Biodiversity Assessment'!E23</f>
        <v>P6</v>
      </c>
      <c r="C7" s="71">
        <f>'Biodiversity Assessment'!M23</f>
        <v>0</v>
      </c>
      <c r="G7" s="3">
        <v>6</v>
      </c>
      <c r="H7" s="3" t="str">
        <f t="shared" si="0"/>
        <v/>
      </c>
      <c r="I7" s="3">
        <f>SUMIF(Table712[Fragmentation],L7,Table712[Area])</f>
        <v>0</v>
      </c>
      <c r="J7" s="3"/>
      <c r="L7" s="3">
        <v>6</v>
      </c>
    </row>
    <row r="8" spans="1:16" x14ac:dyDescent="0.25">
      <c r="A8" s="3" t="str">
        <f>IF('Biodiversity Assessment'!K24="?","Artificial",'Biodiversity Assessment'!K24)</f>
        <v>Artificial</v>
      </c>
      <c r="B8" s="71" t="str">
        <f>'Biodiversity Assessment'!E24</f>
        <v>P7</v>
      </c>
      <c r="C8" s="71">
        <f>'Biodiversity Assessment'!M24</f>
        <v>0</v>
      </c>
      <c r="G8" s="3">
        <v>7</v>
      </c>
      <c r="H8" s="3" t="str">
        <f t="shared" si="0"/>
        <v/>
      </c>
      <c r="I8" s="3">
        <f>SUMIF(Table712[Fragmentation],L8,Table712[Area])</f>
        <v>0</v>
      </c>
      <c r="J8" s="3"/>
      <c r="L8" s="3">
        <v>7</v>
      </c>
    </row>
    <row r="9" spans="1:16" x14ac:dyDescent="0.25">
      <c r="A9" s="3" t="str">
        <f>IF('Biodiversity Assessment'!K25="?","Artificial",'Biodiversity Assessment'!K25)</f>
        <v>Artificial</v>
      </c>
      <c r="B9" s="71" t="str">
        <f>'Biodiversity Assessment'!E25</f>
        <v>P8</v>
      </c>
      <c r="C9" s="71">
        <f>'Biodiversity Assessment'!M25</f>
        <v>0</v>
      </c>
      <c r="G9" s="3">
        <v>8</v>
      </c>
      <c r="H9" s="3" t="str">
        <f t="shared" si="0"/>
        <v/>
      </c>
      <c r="I9" s="3">
        <f>SUMIF(Table712[Fragmentation],L9,Table712[Area])</f>
        <v>0</v>
      </c>
      <c r="J9" s="3"/>
      <c r="L9" s="3">
        <v>8</v>
      </c>
    </row>
    <row r="10" spans="1:16" x14ac:dyDescent="0.25">
      <c r="A10" s="3" t="str">
        <f>IF('Biodiversity Assessment'!K26="?","Artificial",'Biodiversity Assessment'!K26)</f>
        <v>Artificial</v>
      </c>
      <c r="B10" s="71" t="str">
        <f>'Biodiversity Assessment'!E26</f>
        <v>P9</v>
      </c>
      <c r="C10" s="71">
        <f>'Biodiversity Assessment'!M26</f>
        <v>0</v>
      </c>
      <c r="G10" s="3">
        <v>9</v>
      </c>
      <c r="H10" s="3" t="str">
        <f t="shared" si="0"/>
        <v/>
      </c>
      <c r="I10" s="3">
        <f>SUMIF(Table712[Fragmentation],L10,Table712[Area])</f>
        <v>0</v>
      </c>
      <c r="J10" s="3"/>
      <c r="L10" s="3">
        <v>9</v>
      </c>
    </row>
    <row r="11" spans="1:16" x14ac:dyDescent="0.25">
      <c r="A11" s="3" t="str">
        <f>IF('Biodiversity Assessment'!K27="?","Artificial",'Biodiversity Assessment'!K27)</f>
        <v>Artificial</v>
      </c>
      <c r="B11" s="71" t="str">
        <f>'Biodiversity Assessment'!E27</f>
        <v>P10</v>
      </c>
      <c r="C11" s="71">
        <f>'Biodiversity Assessment'!M27</f>
        <v>0</v>
      </c>
      <c r="G11" s="3">
        <v>10</v>
      </c>
      <c r="H11" s="3" t="str">
        <f t="shared" si="0"/>
        <v/>
      </c>
      <c r="I11" s="3">
        <f>SUMIF(Table712[Fragmentation],L11,Table712[Area])</f>
        <v>0</v>
      </c>
      <c r="J11" s="3"/>
      <c r="L11" s="3">
        <v>10</v>
      </c>
    </row>
    <row r="12" spans="1:16" x14ac:dyDescent="0.25">
      <c r="A12" s="3" t="str">
        <f>IF('Biodiversity Assessment'!K28="?","Artificial",'Biodiversity Assessment'!K28)</f>
        <v>Artificial</v>
      </c>
      <c r="B12" s="71" t="str">
        <f>'Biodiversity Assessment'!E28</f>
        <v>P11</v>
      </c>
      <c r="C12" s="71">
        <f>'Biodiversity Assessment'!M28</f>
        <v>0</v>
      </c>
      <c r="G12" s="3">
        <v>11</v>
      </c>
      <c r="H12" s="3" t="str">
        <f t="shared" si="0"/>
        <v/>
      </c>
      <c r="I12" s="3">
        <f>SUMIF(Table712[Fragmentation],L12,Table712[Area])</f>
        <v>0</v>
      </c>
      <c r="J12" s="3"/>
      <c r="L12" s="3">
        <v>11</v>
      </c>
    </row>
    <row r="13" spans="1:16" x14ac:dyDescent="0.25">
      <c r="A13" s="3" t="str">
        <f>IF('Biodiversity Assessment'!K29="?","Artificial",'Biodiversity Assessment'!K29)</f>
        <v>Artificial</v>
      </c>
      <c r="B13" s="71" t="str">
        <f>'Biodiversity Assessment'!E29</f>
        <v>P12</v>
      </c>
      <c r="C13" s="71">
        <f>'Biodiversity Assessment'!M29</f>
        <v>0</v>
      </c>
      <c r="G13" s="3">
        <v>12</v>
      </c>
      <c r="H13" s="3" t="str">
        <f t="shared" si="0"/>
        <v/>
      </c>
      <c r="I13" s="3">
        <f>SUMIF(Table712[Fragmentation],L13,Table712[Area])</f>
        <v>0</v>
      </c>
      <c r="J13" s="3"/>
      <c r="L13" s="3">
        <v>12</v>
      </c>
    </row>
    <row r="14" spans="1:16" x14ac:dyDescent="0.25">
      <c r="A14" s="3" t="str">
        <f>IF('Biodiversity Assessment'!K30="?","Artificial",'Biodiversity Assessment'!K30)</f>
        <v>Artificial</v>
      </c>
      <c r="B14" s="71" t="str">
        <f>'Biodiversity Assessment'!E30</f>
        <v>P13</v>
      </c>
      <c r="C14" s="71">
        <f>'Biodiversity Assessment'!M30</f>
        <v>0</v>
      </c>
      <c r="G14" s="3">
        <v>13</v>
      </c>
      <c r="H14" s="3" t="str">
        <f t="shared" si="0"/>
        <v/>
      </c>
      <c r="I14" s="3">
        <f>SUMIF(Table712[Fragmentation],L14,Table712[Area])</f>
        <v>0</v>
      </c>
      <c r="J14" s="3"/>
      <c r="L14" s="3">
        <v>13</v>
      </c>
    </row>
    <row r="15" spans="1:16" x14ac:dyDescent="0.25">
      <c r="A15" s="3" t="str">
        <f>IF('Biodiversity Assessment'!K31="?","Artificial",'Biodiversity Assessment'!K31)</f>
        <v>Artificial</v>
      </c>
      <c r="B15" s="71" t="str">
        <f>'Biodiversity Assessment'!E31</f>
        <v>P14</v>
      </c>
      <c r="C15" s="71">
        <f>'Biodiversity Assessment'!M31</f>
        <v>0</v>
      </c>
      <c r="G15" s="3">
        <v>14</v>
      </c>
      <c r="H15" s="3" t="str">
        <f t="shared" si="0"/>
        <v/>
      </c>
      <c r="I15" s="3">
        <f>SUMIF(Table712[Fragmentation],L15,Table712[Area])</f>
        <v>0</v>
      </c>
      <c r="J15" s="3"/>
      <c r="L15" s="3">
        <v>14</v>
      </c>
    </row>
    <row r="16" spans="1:16" x14ac:dyDescent="0.25">
      <c r="A16" s="3" t="str">
        <f>IF('Biodiversity Assessment'!K32="?","Artificial",'Biodiversity Assessment'!K32)</f>
        <v>Artificial</v>
      </c>
      <c r="B16" s="71" t="str">
        <f>'Biodiversity Assessment'!E32</f>
        <v>P15</v>
      </c>
      <c r="C16" s="71">
        <f>'Biodiversity Assessment'!M32</f>
        <v>0</v>
      </c>
      <c r="G16" s="3">
        <v>15</v>
      </c>
      <c r="H16" s="3" t="str">
        <f t="shared" si="0"/>
        <v/>
      </c>
      <c r="I16" s="3">
        <f>SUMIF(Table712[Fragmentation],L16,Table712[Area])</f>
        <v>0</v>
      </c>
      <c r="J16" s="3"/>
      <c r="L16" s="3">
        <v>15</v>
      </c>
    </row>
    <row r="17" spans="1:12" x14ac:dyDescent="0.25">
      <c r="A17" s="3" t="str">
        <f>IF('Biodiversity Assessment'!K33="?","Artificial",'Biodiversity Assessment'!K33)</f>
        <v>Artificial</v>
      </c>
      <c r="B17" s="71" t="str">
        <f>'Biodiversity Assessment'!E33</f>
        <v>P16</v>
      </c>
      <c r="C17" s="71">
        <f>'Biodiversity Assessment'!M33</f>
        <v>0</v>
      </c>
      <c r="G17" s="3">
        <v>16</v>
      </c>
      <c r="H17" s="3" t="str">
        <f t="shared" si="0"/>
        <v/>
      </c>
      <c r="I17" s="3">
        <f>SUMIF(Table712[Fragmentation],L17,Table712[Area])</f>
        <v>0</v>
      </c>
      <c r="J17" s="3"/>
      <c r="L17" s="3">
        <v>16</v>
      </c>
    </row>
    <row r="18" spans="1:12" x14ac:dyDescent="0.25">
      <c r="A18" s="3" t="str">
        <f>IF('Biodiversity Assessment'!K34="?","Artificial",'Biodiversity Assessment'!K34)</f>
        <v>Artificial</v>
      </c>
      <c r="B18" s="71" t="str">
        <f>'Biodiversity Assessment'!E34</f>
        <v>P17</v>
      </c>
      <c r="C18" s="71">
        <f>'Biodiversity Assessment'!M34</f>
        <v>0</v>
      </c>
      <c r="G18" s="3">
        <v>17</v>
      </c>
      <c r="H18" s="3" t="str">
        <f t="shared" si="0"/>
        <v/>
      </c>
      <c r="I18" s="3">
        <f>SUMIF(Table712[Fragmentation],L18,Table712[Area])</f>
        <v>0</v>
      </c>
      <c r="J18" s="3"/>
      <c r="L18" s="3">
        <v>17</v>
      </c>
    </row>
    <row r="19" spans="1:12" x14ac:dyDescent="0.25">
      <c r="A19" s="3" t="str">
        <f>IF('Biodiversity Assessment'!K35="?","Artificial",'Biodiversity Assessment'!K35)</f>
        <v>Artificial</v>
      </c>
      <c r="B19" s="71" t="str">
        <f>'Biodiversity Assessment'!E35</f>
        <v>P18</v>
      </c>
      <c r="C19" s="71">
        <f>'Biodiversity Assessment'!M35</f>
        <v>0</v>
      </c>
      <c r="G19" s="3">
        <v>18</v>
      </c>
      <c r="H19" s="3" t="str">
        <f t="shared" si="0"/>
        <v/>
      </c>
      <c r="I19" s="3">
        <f>SUMIF(Table712[Fragmentation],L19,Table712[Area])</f>
        <v>0</v>
      </c>
      <c r="J19" s="3"/>
      <c r="L19" s="3">
        <v>18</v>
      </c>
    </row>
    <row r="20" spans="1:12" x14ac:dyDescent="0.25">
      <c r="A20" s="3" t="str">
        <f>IF('Biodiversity Assessment'!K36="?","Artificial",'Biodiversity Assessment'!K36)</f>
        <v>Artificial</v>
      </c>
      <c r="B20" s="71" t="str">
        <f>'Biodiversity Assessment'!E36</f>
        <v>P19</v>
      </c>
      <c r="C20" s="71">
        <f>'Biodiversity Assessment'!M36</f>
        <v>0</v>
      </c>
      <c r="G20" s="3">
        <v>19</v>
      </c>
      <c r="H20" s="3" t="str">
        <f t="shared" si="0"/>
        <v/>
      </c>
      <c r="I20" s="3">
        <f>SUMIF(Table712[Fragmentation],L20,Table712[Area])</f>
        <v>0</v>
      </c>
      <c r="J20" s="3"/>
      <c r="L20" s="3">
        <v>19</v>
      </c>
    </row>
    <row r="21" spans="1:12" x14ac:dyDescent="0.25">
      <c r="A21" s="3" t="str">
        <f>IF('Biodiversity Assessment'!K37="?","Artificial",'Biodiversity Assessment'!K37)</f>
        <v>Artificial</v>
      </c>
      <c r="B21" s="71" t="str">
        <f>'Biodiversity Assessment'!E37</f>
        <v>P20</v>
      </c>
      <c r="C21" s="71">
        <f>'Biodiversity Assessment'!M37</f>
        <v>0</v>
      </c>
      <c r="G21" s="3">
        <v>20</v>
      </c>
      <c r="H21" s="3" t="str">
        <f t="shared" si="0"/>
        <v/>
      </c>
      <c r="I21" s="3">
        <f>SUMIF(Table712[Fragmentation],L21,Table712[Area])</f>
        <v>0</v>
      </c>
      <c r="J21" s="3"/>
      <c r="L21" s="3">
        <v>20</v>
      </c>
    </row>
    <row r="22" spans="1:12" x14ac:dyDescent="0.25">
      <c r="A22" s="3" t="str">
        <f>IF('Biodiversity Assessment'!K38="?","Artificial",'Biodiversity Assessment'!K38)</f>
        <v>Artificial</v>
      </c>
      <c r="B22" s="71" t="str">
        <f>'Biodiversity Assessment'!E38</f>
        <v>P21</v>
      </c>
      <c r="C22" s="71">
        <f>'Biodiversity Assessment'!M38</f>
        <v>0</v>
      </c>
      <c r="G22" s="3">
        <v>21</v>
      </c>
      <c r="H22" s="3" t="str">
        <f t="shared" si="0"/>
        <v/>
      </c>
      <c r="I22" s="3">
        <f>SUMIF(Table712[Fragmentation],L22,Table712[Area])</f>
        <v>0</v>
      </c>
      <c r="J22" s="3"/>
      <c r="L22" s="3">
        <v>21</v>
      </c>
    </row>
    <row r="23" spans="1:12" x14ac:dyDescent="0.25">
      <c r="A23" s="3" t="str">
        <f>IF('Biodiversity Assessment'!K39="?","Artificial",'Biodiversity Assessment'!K39)</f>
        <v>Artificial</v>
      </c>
      <c r="B23" s="71" t="str">
        <f>'Biodiversity Assessment'!E39</f>
        <v>P22</v>
      </c>
      <c r="C23" s="71">
        <f>'Biodiversity Assessment'!M39</f>
        <v>0</v>
      </c>
      <c r="G23" s="3">
        <v>22</v>
      </c>
      <c r="H23" s="3" t="str">
        <f t="shared" si="0"/>
        <v/>
      </c>
      <c r="I23" s="3">
        <f>SUMIF(Table712[Fragmentation],L23,Table712[Area])</f>
        <v>0</v>
      </c>
      <c r="J23" s="3"/>
      <c r="L23" s="3">
        <v>22</v>
      </c>
    </row>
    <row r="24" spans="1:12" x14ac:dyDescent="0.25">
      <c r="A24" s="3" t="str">
        <f>IF('Biodiversity Assessment'!K40="?","Artificial",'Biodiversity Assessment'!K40)</f>
        <v>Artificial</v>
      </c>
      <c r="B24" s="71" t="str">
        <f>'Biodiversity Assessment'!E40</f>
        <v>P23</v>
      </c>
      <c r="C24" s="71">
        <f>'Biodiversity Assessment'!M40</f>
        <v>0</v>
      </c>
      <c r="G24" s="3">
        <v>23</v>
      </c>
      <c r="H24" s="3" t="str">
        <f t="shared" si="0"/>
        <v/>
      </c>
      <c r="I24" s="3">
        <f>SUMIF(Table712[Fragmentation],L24,Table712[Area])</f>
        <v>0</v>
      </c>
      <c r="J24" s="3"/>
      <c r="L24" s="3">
        <v>23</v>
      </c>
    </row>
    <row r="25" spans="1:12" x14ac:dyDescent="0.25">
      <c r="A25" s="3" t="str">
        <f>IF('Biodiversity Assessment'!K41="?","Artificial",'Biodiversity Assessment'!K41)</f>
        <v>Artificial</v>
      </c>
      <c r="B25" s="71" t="str">
        <f>'Biodiversity Assessment'!E41</f>
        <v>P24</v>
      </c>
      <c r="C25" s="71">
        <f>'Biodiversity Assessment'!M41</f>
        <v>0</v>
      </c>
      <c r="G25" s="3">
        <v>24</v>
      </c>
      <c r="H25" s="3" t="str">
        <f t="shared" si="0"/>
        <v/>
      </c>
      <c r="I25" s="3">
        <f>SUMIF(Table712[Fragmentation],L25,Table712[Area])</f>
        <v>0</v>
      </c>
      <c r="J25" s="3"/>
      <c r="L25" s="3">
        <v>24</v>
      </c>
    </row>
    <row r="26" spans="1:12" x14ac:dyDescent="0.25">
      <c r="A26" s="3" t="str">
        <f>IF('Biodiversity Assessment'!K42="?","Artificial",'Biodiversity Assessment'!K42)</f>
        <v>Artificial</v>
      </c>
      <c r="B26" s="71" t="str">
        <f>'Biodiversity Assessment'!E42</f>
        <v>P25</v>
      </c>
      <c r="C26" s="71">
        <f>'Biodiversity Assessment'!M42</f>
        <v>0</v>
      </c>
      <c r="G26" s="3">
        <v>25</v>
      </c>
      <c r="H26" s="3" t="str">
        <f t="shared" si="0"/>
        <v/>
      </c>
      <c r="I26" s="3">
        <f>SUMIF(Table712[Fragmentation],L26,Table712[Area])</f>
        <v>0</v>
      </c>
      <c r="J26" s="3"/>
      <c r="L26" s="3">
        <v>25</v>
      </c>
    </row>
    <row r="27" spans="1:12" x14ac:dyDescent="0.25">
      <c r="A27" s="3" t="str">
        <f>IF('Biodiversity Assessment'!K43="?","Artificial",'Biodiversity Assessment'!K43)</f>
        <v>Artificial</v>
      </c>
      <c r="B27" s="71" t="str">
        <f>'Biodiversity Assessment'!E43</f>
        <v>P26</v>
      </c>
      <c r="C27" s="71">
        <f>'Biodiversity Assessment'!M43</f>
        <v>0</v>
      </c>
      <c r="G27" s="3">
        <v>26</v>
      </c>
      <c r="H27" s="3" t="str">
        <f t="shared" si="0"/>
        <v/>
      </c>
      <c r="I27" s="3">
        <f>SUMIF(Table712[Fragmentation],L27,Table712[Area])</f>
        <v>0</v>
      </c>
      <c r="J27" s="3"/>
      <c r="L27" s="3">
        <v>26</v>
      </c>
    </row>
    <row r="28" spans="1:12" x14ac:dyDescent="0.25">
      <c r="A28" s="3" t="str">
        <f>IF('Biodiversity Assessment'!K44="?","Artificial",'Biodiversity Assessment'!K44)</f>
        <v>Artificial</v>
      </c>
      <c r="B28" s="71" t="str">
        <f>'Biodiversity Assessment'!E44</f>
        <v>P27</v>
      </c>
      <c r="C28" s="71">
        <f>'Biodiversity Assessment'!M44</f>
        <v>0</v>
      </c>
      <c r="G28" s="3">
        <v>27</v>
      </c>
      <c r="H28" s="3" t="str">
        <f t="shared" si="0"/>
        <v/>
      </c>
      <c r="I28" s="3">
        <f>SUMIF(Table712[Fragmentation],L28,Table712[Area])</f>
        <v>0</v>
      </c>
      <c r="J28" s="3"/>
      <c r="L28" s="3">
        <v>27</v>
      </c>
    </row>
    <row r="29" spans="1:12" x14ac:dyDescent="0.25">
      <c r="A29" s="3" t="str">
        <f>IF('Biodiversity Assessment'!K45="?","Artificial",'Biodiversity Assessment'!K45)</f>
        <v>Artificial</v>
      </c>
      <c r="B29" s="71" t="str">
        <f>'Biodiversity Assessment'!E45</f>
        <v>P28</v>
      </c>
      <c r="C29" s="71">
        <f>'Biodiversity Assessment'!M45</f>
        <v>0</v>
      </c>
      <c r="G29" s="3">
        <v>28</v>
      </c>
      <c r="H29" s="3" t="str">
        <f t="shared" si="0"/>
        <v/>
      </c>
      <c r="I29" s="3">
        <f>SUMIF(Table712[Fragmentation],L29,Table712[Area])</f>
        <v>0</v>
      </c>
      <c r="J29" s="3"/>
      <c r="L29" s="3">
        <v>28</v>
      </c>
    </row>
    <row r="30" spans="1:12" x14ac:dyDescent="0.25">
      <c r="A30" s="3" t="str">
        <f>IF('Biodiversity Assessment'!K46="?","Artificial",'Biodiversity Assessment'!K46)</f>
        <v>Artificial</v>
      </c>
      <c r="B30" s="71" t="str">
        <f>'Biodiversity Assessment'!E46</f>
        <v>P29</v>
      </c>
      <c r="C30" s="71">
        <f>'Biodiversity Assessment'!M46</f>
        <v>0</v>
      </c>
      <c r="G30" s="3">
        <v>29</v>
      </c>
      <c r="H30" s="3" t="str">
        <f t="shared" si="0"/>
        <v/>
      </c>
      <c r="I30" s="3">
        <f>SUMIF(Table712[Fragmentation],L30,Table712[Area])</f>
        <v>0</v>
      </c>
      <c r="J30" s="3"/>
      <c r="L30" s="3">
        <v>29</v>
      </c>
    </row>
    <row r="31" spans="1:12" x14ac:dyDescent="0.25">
      <c r="A31" s="3" t="str">
        <f>IF('Biodiversity Assessment'!K47="?","Artificial",'Biodiversity Assessment'!K47)</f>
        <v>Artificial</v>
      </c>
      <c r="B31" s="71" t="str">
        <f>'Biodiversity Assessment'!E47</f>
        <v>P30</v>
      </c>
      <c r="C31" s="71">
        <f>'Biodiversity Assessment'!M47</f>
        <v>0</v>
      </c>
      <c r="G31" s="3">
        <v>30</v>
      </c>
      <c r="H31" s="3" t="str">
        <f t="shared" si="0"/>
        <v/>
      </c>
      <c r="I31" s="3">
        <f>SUMIF(Table712[Fragmentation],L31,Table712[Area])</f>
        <v>0</v>
      </c>
      <c r="J31" s="3"/>
      <c r="L31" s="3">
        <v>30</v>
      </c>
    </row>
    <row r="32" spans="1:12" x14ac:dyDescent="0.25">
      <c r="G32" s="3" t="s">
        <v>505</v>
      </c>
      <c r="H32" s="3" t="str">
        <f t="shared" si="0"/>
        <v/>
      </c>
      <c r="I32" s="3">
        <f>SUMIF(Table712[Fragmentation],L32,Table712[Area])</f>
        <v>0</v>
      </c>
      <c r="J32" s="3"/>
      <c r="L32" t="s">
        <v>505</v>
      </c>
    </row>
    <row r="33" spans="10:10" x14ac:dyDescent="0.25">
      <c r="J33" s="3"/>
    </row>
    <row r="37" spans="10:10" x14ac:dyDescent="0.25">
      <c r="J37" t="str">
        <f>CONCATENATE(IF(AND(C2&gt;0,$A$2=L32,)," P1",))</f>
        <v/>
      </c>
    </row>
  </sheetData>
  <pageMargins left="0.7" right="0.7" top="0.75" bottom="0.75" header="0.3" footer="0.3"/>
  <drawing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2">
    <tabColor theme="0"/>
  </sheetPr>
  <dimension ref="A1:L32"/>
  <sheetViews>
    <sheetView workbookViewId="0">
      <selection activeCell="H2" sqref="H2:H32"/>
    </sheetView>
  </sheetViews>
  <sheetFormatPr defaultRowHeight="12.5" x14ac:dyDescent="0.25"/>
  <cols>
    <col min="1" max="1" width="16.7265625" bestFit="1" customWidth="1"/>
  </cols>
  <sheetData>
    <row r="1" spans="1:12" x14ac:dyDescent="0.25">
      <c r="A1" s="3" t="s">
        <v>76</v>
      </c>
      <c r="B1" s="3" t="s">
        <v>13</v>
      </c>
      <c r="C1" s="3" t="s">
        <v>165</v>
      </c>
    </row>
    <row r="2" spans="1:12" x14ac:dyDescent="0.25">
      <c r="A2" s="3" t="str">
        <f>IF('Biodiversity Assessment'!S18="?","Artificial",'Biodiversity Assessment'!S18)</f>
        <v>Artificial</v>
      </c>
      <c r="B2" s="71" t="str">
        <f>'Biodiversity Assessment'!E18</f>
        <v>P1</v>
      </c>
      <c r="C2" s="71">
        <f>'Biodiversity Assessment'!U18</f>
        <v>0</v>
      </c>
      <c r="G2" s="3">
        <v>1</v>
      </c>
      <c r="H2" t="str">
        <f>CONCATENATE(IF(AND(C2&gt;0,$A$2=L2)," P1",),IF(AND($C$3&gt;0,$A$3=L2)," P2",),IF(AND($C$4&gt;0,$A$4=L2)," P3",),IF(AND($C$5&gt;0,$A$5=L2)," P4",),IF(AND($C$6&gt;0,$A$6=L2)," P5",),IF(AND($C$7&gt;0,$A$7=L2)," P6",),IF(AND($C$8&gt;0,$A$8=L2)," P7",),IF(AND($C$9&gt;0,$A$9=L2)," P8",),IF(AND($C$10&gt;0,$A$10=L2)," P9",),IF(AND($C$11&gt;0,$A$11=L2)," P10",),IF(AND($C$12&gt;0,$A$12=L2)," P11",),IF(AND($C$13&gt;0,$A$13=L2)," P12",),IF(AND($C$14&gt;0,$A$14=L2)," P13",),IF(AND($C$15&gt;0,$A$15=L2)," P14",),IF(AND($C$16&gt;0,$A$16=L2)," P15",),IF(AND($C$17&gt;0,$A$17=L2)," P16",),IF(AND($C$18&gt;0,$A$18=L2)," P17",),IF(AND($C$19&gt;0,$A$19=L2)," P18",),IF(AND($C$20&gt;0,$A$20=L2)," P19",),IF(AND($C$21&gt;0,$A$21=L2)," P20",),IF(AND($C$22&gt;0,$A$22=L2)," P21",),IF(AND($C$23&gt;0,$A$23=L2)," P22",),IF(AND($C$24&gt;0,$A$24=L2)," P23",),IF(AND($C$25&gt;0,$A$25=L2)," P24",),IF(AND($C$26&gt;0,$A$26=L2)," P25",),IF(AND($C$27&gt;0,$A$27=L2)," P26",),IF(AND($C$28&gt;0,$A$28=L2)," P27",),IF(AND($C$29&gt;0,$A$29=L2)," P28",),IF(AND($C$30&gt;0,$A$30=L2)," P29",),IF(AND($C$31&gt;0,$A$31=L2)," P30",))</f>
        <v/>
      </c>
      <c r="I2">
        <f>SUMIF(Table77[Fragmentation],L2,Table77[Area])</f>
        <v>0</v>
      </c>
      <c r="L2" s="3">
        <v>1</v>
      </c>
    </row>
    <row r="3" spans="1:12" x14ac:dyDescent="0.25">
      <c r="A3" s="3" t="str">
        <f>IF('Biodiversity Assessment'!S19="?","Artificial",'Biodiversity Assessment'!S19)</f>
        <v>Artificial</v>
      </c>
      <c r="B3" s="71" t="str">
        <f>'Biodiversity Assessment'!E19</f>
        <v>P2</v>
      </c>
      <c r="C3" s="71">
        <f>'Biodiversity Assessment'!U19</f>
        <v>0</v>
      </c>
      <c r="G3" s="3">
        <v>2</v>
      </c>
      <c r="H3" s="3" t="str">
        <f t="shared" ref="H3:H32" si="0">CONCATENATE(IF(AND(C3&gt;0,$A$2=L3)," P1",),IF(AND($C$3&gt;0,$A$3=L3)," P2",),IF(AND($C$4&gt;0,$A$4=L3)," P3",),IF(AND($C$5&gt;0,$A$5=L3)," P4",),IF(AND($C$6&gt;0,$A$6=L3)," P5",),IF(AND($C$7&gt;0,$A$7=L3)," P6",),IF(AND($C$8&gt;0,$A$8=L3)," P7",),IF(AND($C$9&gt;0,$A$9=L3)," P8",),IF(AND($C$10&gt;0,$A$10=L3)," P9",),IF(AND($C$11&gt;0,$A$11=L3)," P10",),IF(AND($C$12&gt;0,$A$12=L3)," P11",),IF(AND($C$13&gt;0,$A$13=L3)," P12",),IF(AND($C$14&gt;0,$A$14=L3)," P13",),IF(AND($C$15&gt;0,$A$15=L3)," P14",),IF(AND($C$16&gt;0,$A$16=L3)," P15",),IF(AND($C$17&gt;0,$A$17=L3)," P16",),IF(AND($C$18&gt;0,$A$18=L3)," P17",),IF(AND($C$19&gt;0,$A$19=L3)," P18",),IF(AND($C$20&gt;0,$A$20=L3)," P19",),IF(AND($C$21&gt;0,$A$21=L3)," P20",),IF(AND($C$22&gt;0,$A$22=L3)," P21",),IF(AND($C$23&gt;0,$A$23=L3)," P22",),IF(AND($C$24&gt;0,$A$24=L3)," P23",),IF(AND($C$25&gt;0,$A$25=L3)," P24",),IF(AND($C$26&gt;0,$A$26=L3)," P25",),IF(AND($C$27&gt;0,$A$27=L3)," P26",),IF(AND($C$28&gt;0,$A$28=L3)," P27",),IF(AND($C$29&gt;0,$A$29=L3)," P28",),IF(AND($C$30&gt;0,$A$30=L3)," P29",),IF(AND($C$31&gt;0,$A$31=L3)," P30",))</f>
        <v/>
      </c>
      <c r="I3" s="3">
        <f>SUMIF(Table77[Fragmentation],L3,Table77[Area])</f>
        <v>0</v>
      </c>
      <c r="L3" s="3">
        <v>2</v>
      </c>
    </row>
    <row r="4" spans="1:12" x14ac:dyDescent="0.25">
      <c r="A4" s="3" t="str">
        <f>IF('Biodiversity Assessment'!S20="?","Artificial",'Biodiversity Assessment'!S20)</f>
        <v>Artificial</v>
      </c>
      <c r="B4" s="71" t="str">
        <f>'Biodiversity Assessment'!E20</f>
        <v>P3</v>
      </c>
      <c r="C4" s="71">
        <f>'Biodiversity Assessment'!U20</f>
        <v>0</v>
      </c>
      <c r="G4" s="3">
        <v>3</v>
      </c>
      <c r="H4" s="3" t="str">
        <f t="shared" si="0"/>
        <v/>
      </c>
      <c r="I4" s="3">
        <f>SUMIF(Table77[Fragmentation],L4,Table77[Area])</f>
        <v>0</v>
      </c>
      <c r="L4" s="3">
        <v>3</v>
      </c>
    </row>
    <row r="5" spans="1:12" x14ac:dyDescent="0.25">
      <c r="A5" s="3" t="str">
        <f>IF('Biodiversity Assessment'!S21="?","Artificial",'Biodiversity Assessment'!S21)</f>
        <v>Artificial</v>
      </c>
      <c r="B5" s="71" t="str">
        <f>'Biodiversity Assessment'!E21</f>
        <v>P4</v>
      </c>
      <c r="C5" s="71">
        <f>'Biodiversity Assessment'!U21</f>
        <v>0</v>
      </c>
      <c r="G5" s="3">
        <v>4</v>
      </c>
      <c r="H5" s="3" t="str">
        <f t="shared" si="0"/>
        <v/>
      </c>
      <c r="I5" s="3">
        <f>SUMIF(Table77[Fragmentation],L5,Table77[Area])</f>
        <v>0</v>
      </c>
      <c r="L5" s="3">
        <v>4</v>
      </c>
    </row>
    <row r="6" spans="1:12" x14ac:dyDescent="0.25">
      <c r="A6" s="3" t="str">
        <f>IF('Biodiversity Assessment'!S22="?","Artificial",'Biodiversity Assessment'!S22)</f>
        <v>Artificial</v>
      </c>
      <c r="B6" s="71" t="str">
        <f>'Biodiversity Assessment'!E22</f>
        <v>P5</v>
      </c>
      <c r="C6" s="71">
        <f>'Biodiversity Assessment'!U22</f>
        <v>0</v>
      </c>
      <c r="G6" s="3">
        <v>5</v>
      </c>
      <c r="H6" s="3" t="str">
        <f t="shared" si="0"/>
        <v/>
      </c>
      <c r="I6" s="3">
        <f>SUMIF(Table77[Fragmentation],L6,Table77[Area])</f>
        <v>0</v>
      </c>
      <c r="L6" s="3">
        <v>5</v>
      </c>
    </row>
    <row r="7" spans="1:12" x14ac:dyDescent="0.25">
      <c r="A7" s="3" t="str">
        <f>IF('Biodiversity Assessment'!S23="?","Artificial",'Biodiversity Assessment'!S23)</f>
        <v>Artificial</v>
      </c>
      <c r="B7" s="71" t="str">
        <f>'Biodiversity Assessment'!E23</f>
        <v>P6</v>
      </c>
      <c r="C7" s="71">
        <f>'Biodiversity Assessment'!U23</f>
        <v>0</v>
      </c>
      <c r="G7" s="3">
        <v>6</v>
      </c>
      <c r="H7" s="3" t="str">
        <f t="shared" si="0"/>
        <v/>
      </c>
      <c r="I7" s="3">
        <f>SUMIF(Table77[Fragmentation],L7,Table77[Area])</f>
        <v>0</v>
      </c>
      <c r="L7" s="3">
        <v>6</v>
      </c>
    </row>
    <row r="8" spans="1:12" x14ac:dyDescent="0.25">
      <c r="A8" s="3" t="str">
        <f>IF('Biodiversity Assessment'!S24="?","Artificial",'Biodiversity Assessment'!S24)</f>
        <v>Artificial</v>
      </c>
      <c r="B8" s="71" t="str">
        <f>'Biodiversity Assessment'!E24</f>
        <v>P7</v>
      </c>
      <c r="C8" s="71">
        <f>'Biodiversity Assessment'!U24</f>
        <v>0</v>
      </c>
      <c r="G8" s="3">
        <v>7</v>
      </c>
      <c r="H8" s="3" t="str">
        <f t="shared" si="0"/>
        <v/>
      </c>
      <c r="I8" s="3">
        <f>SUMIF(Table77[Fragmentation],L8,Table77[Area])</f>
        <v>0</v>
      </c>
      <c r="L8" s="3">
        <v>7</v>
      </c>
    </row>
    <row r="9" spans="1:12" x14ac:dyDescent="0.25">
      <c r="A9" s="3" t="str">
        <f>IF('Biodiversity Assessment'!S25="?","Artificial",'Biodiversity Assessment'!S25)</f>
        <v>Artificial</v>
      </c>
      <c r="B9" s="71" t="str">
        <f>'Biodiversity Assessment'!E25</f>
        <v>P8</v>
      </c>
      <c r="C9" s="71">
        <f>'Biodiversity Assessment'!U25</f>
        <v>0</v>
      </c>
      <c r="G9" s="3">
        <v>8</v>
      </c>
      <c r="H9" s="3" t="str">
        <f t="shared" si="0"/>
        <v/>
      </c>
      <c r="I9" s="3">
        <f>SUMIF(Table77[Fragmentation],L9,Table77[Area])</f>
        <v>0</v>
      </c>
      <c r="L9" s="3">
        <v>8</v>
      </c>
    </row>
    <row r="10" spans="1:12" x14ac:dyDescent="0.25">
      <c r="A10" s="3" t="str">
        <f>IF('Biodiversity Assessment'!S26="?","Artificial",'Biodiversity Assessment'!S26)</f>
        <v>Artificial</v>
      </c>
      <c r="B10" s="71" t="str">
        <f>'Biodiversity Assessment'!E26</f>
        <v>P9</v>
      </c>
      <c r="C10" s="71">
        <f>'Biodiversity Assessment'!U26</f>
        <v>0</v>
      </c>
      <c r="G10" s="3">
        <v>9</v>
      </c>
      <c r="H10" s="3" t="str">
        <f t="shared" si="0"/>
        <v/>
      </c>
      <c r="I10" s="3">
        <f>SUMIF(Table77[Fragmentation],L10,Table77[Area])</f>
        <v>0</v>
      </c>
      <c r="L10" s="3">
        <v>9</v>
      </c>
    </row>
    <row r="11" spans="1:12" x14ac:dyDescent="0.25">
      <c r="A11" s="3" t="str">
        <f>IF('Biodiversity Assessment'!S27="?","Artificial",'Biodiversity Assessment'!S27)</f>
        <v>Artificial</v>
      </c>
      <c r="B11" s="71" t="str">
        <f>'Biodiversity Assessment'!E27</f>
        <v>P10</v>
      </c>
      <c r="C11" s="71">
        <f>'Biodiversity Assessment'!U27</f>
        <v>0</v>
      </c>
      <c r="G11" s="3">
        <v>10</v>
      </c>
      <c r="H11" s="3" t="str">
        <f t="shared" si="0"/>
        <v/>
      </c>
      <c r="I11" s="3">
        <f>SUMIF(Table77[Fragmentation],L11,Table77[Area])</f>
        <v>0</v>
      </c>
      <c r="L11" s="3">
        <v>10</v>
      </c>
    </row>
    <row r="12" spans="1:12" x14ac:dyDescent="0.25">
      <c r="A12" s="3" t="str">
        <f>IF('Biodiversity Assessment'!S28="?","Artificial",'Biodiversity Assessment'!S28)</f>
        <v>Artificial</v>
      </c>
      <c r="B12" s="71" t="str">
        <f>'Biodiversity Assessment'!E28</f>
        <v>P11</v>
      </c>
      <c r="C12" s="71">
        <f>'Biodiversity Assessment'!U28</f>
        <v>0</v>
      </c>
      <c r="G12" s="3">
        <v>11</v>
      </c>
      <c r="H12" s="3" t="str">
        <f t="shared" si="0"/>
        <v/>
      </c>
      <c r="I12" s="3">
        <f>SUMIF(Table77[Fragmentation],L12,Table77[Area])</f>
        <v>0</v>
      </c>
      <c r="L12" s="3">
        <v>11</v>
      </c>
    </row>
    <row r="13" spans="1:12" x14ac:dyDescent="0.25">
      <c r="A13" s="3" t="str">
        <f>IF('Biodiversity Assessment'!S29="?","Artificial",'Biodiversity Assessment'!S29)</f>
        <v>Artificial</v>
      </c>
      <c r="B13" s="71" t="str">
        <f>'Biodiversity Assessment'!E29</f>
        <v>P12</v>
      </c>
      <c r="C13" s="71">
        <f>'Biodiversity Assessment'!U29</f>
        <v>0</v>
      </c>
      <c r="G13" s="3">
        <v>12</v>
      </c>
      <c r="H13" s="3" t="str">
        <f t="shared" si="0"/>
        <v/>
      </c>
      <c r="I13" s="3">
        <f>SUMIF(Table77[Fragmentation],L13,Table77[Area])</f>
        <v>0</v>
      </c>
      <c r="L13" s="3">
        <v>12</v>
      </c>
    </row>
    <row r="14" spans="1:12" x14ac:dyDescent="0.25">
      <c r="A14" s="3" t="str">
        <f>IF('Biodiversity Assessment'!S30="?","Artificial",'Biodiversity Assessment'!S30)</f>
        <v>Artificial</v>
      </c>
      <c r="B14" s="71" t="str">
        <f>'Biodiversity Assessment'!E30</f>
        <v>P13</v>
      </c>
      <c r="C14" s="71">
        <f>'Biodiversity Assessment'!U30</f>
        <v>0</v>
      </c>
      <c r="G14" s="3">
        <v>13</v>
      </c>
      <c r="H14" s="3" t="str">
        <f t="shared" si="0"/>
        <v/>
      </c>
      <c r="I14" s="3">
        <f>SUMIF(Table77[Fragmentation],L14,Table77[Area])</f>
        <v>0</v>
      </c>
      <c r="L14" s="3">
        <v>13</v>
      </c>
    </row>
    <row r="15" spans="1:12" x14ac:dyDescent="0.25">
      <c r="A15" s="3" t="str">
        <f>IF('Biodiversity Assessment'!S31="?","Artificial",'Biodiversity Assessment'!S31)</f>
        <v>Artificial</v>
      </c>
      <c r="B15" s="71" t="str">
        <f>'Biodiversity Assessment'!E31</f>
        <v>P14</v>
      </c>
      <c r="C15" s="71">
        <f>'Biodiversity Assessment'!U31</f>
        <v>0</v>
      </c>
      <c r="G15" s="3">
        <v>14</v>
      </c>
      <c r="H15" s="3" t="str">
        <f t="shared" si="0"/>
        <v/>
      </c>
      <c r="I15" s="3">
        <f>SUMIF(Table77[Fragmentation],L15,Table77[Area])</f>
        <v>0</v>
      </c>
      <c r="L15" s="3">
        <v>14</v>
      </c>
    </row>
    <row r="16" spans="1:12" x14ac:dyDescent="0.25">
      <c r="A16" s="3" t="str">
        <f>IF('Biodiversity Assessment'!S32="?","Artificial",'Biodiversity Assessment'!S32)</f>
        <v>Artificial</v>
      </c>
      <c r="B16" s="71" t="str">
        <f>'Biodiversity Assessment'!E32</f>
        <v>P15</v>
      </c>
      <c r="C16" s="71">
        <f>'Biodiversity Assessment'!U32</f>
        <v>0</v>
      </c>
      <c r="G16" s="3">
        <v>15</v>
      </c>
      <c r="H16" s="3" t="str">
        <f t="shared" si="0"/>
        <v/>
      </c>
      <c r="I16" s="3">
        <f>SUMIF(Table77[Fragmentation],L16,Table77[Area])</f>
        <v>0</v>
      </c>
      <c r="L16" s="3">
        <v>15</v>
      </c>
    </row>
    <row r="17" spans="1:12" x14ac:dyDescent="0.25">
      <c r="A17" s="3" t="str">
        <f>IF('Biodiversity Assessment'!S33="?","Artificial",'Biodiversity Assessment'!S33)</f>
        <v>Artificial</v>
      </c>
      <c r="B17" s="71" t="str">
        <f>'Biodiversity Assessment'!E33</f>
        <v>P16</v>
      </c>
      <c r="C17" s="71">
        <f>'Biodiversity Assessment'!U33</f>
        <v>0</v>
      </c>
      <c r="G17" s="3">
        <v>16</v>
      </c>
      <c r="H17" s="3" t="str">
        <f t="shared" si="0"/>
        <v/>
      </c>
      <c r="I17" s="3">
        <f>SUMIF(Table77[Fragmentation],L17,Table77[Area])</f>
        <v>0</v>
      </c>
      <c r="L17" s="3">
        <v>16</v>
      </c>
    </row>
    <row r="18" spans="1:12" x14ac:dyDescent="0.25">
      <c r="A18" s="3" t="str">
        <f>IF('Biodiversity Assessment'!S34="?","Artificial",'Biodiversity Assessment'!S34)</f>
        <v>Artificial</v>
      </c>
      <c r="B18" s="71" t="str">
        <f>'Biodiversity Assessment'!E34</f>
        <v>P17</v>
      </c>
      <c r="C18" s="71">
        <f>'Biodiversity Assessment'!U34</f>
        <v>0</v>
      </c>
      <c r="G18" s="3">
        <v>17</v>
      </c>
      <c r="H18" s="3" t="str">
        <f t="shared" si="0"/>
        <v/>
      </c>
      <c r="I18" s="3">
        <f>SUMIF(Table77[Fragmentation],L18,Table77[Area])</f>
        <v>0</v>
      </c>
      <c r="L18" s="3">
        <v>17</v>
      </c>
    </row>
    <row r="19" spans="1:12" x14ac:dyDescent="0.25">
      <c r="A19" s="3" t="str">
        <f>IF('Biodiversity Assessment'!S35="?","Artificial",'Biodiversity Assessment'!S35)</f>
        <v>Artificial</v>
      </c>
      <c r="B19" s="71" t="str">
        <f>'Biodiversity Assessment'!E35</f>
        <v>P18</v>
      </c>
      <c r="C19" s="71">
        <f>'Biodiversity Assessment'!U35</f>
        <v>0</v>
      </c>
      <c r="G19" s="3">
        <v>18</v>
      </c>
      <c r="H19" s="3" t="str">
        <f t="shared" si="0"/>
        <v/>
      </c>
      <c r="I19" s="3">
        <f>SUMIF(Table77[Fragmentation],L19,Table77[Area])</f>
        <v>0</v>
      </c>
      <c r="L19" s="3">
        <v>18</v>
      </c>
    </row>
    <row r="20" spans="1:12" x14ac:dyDescent="0.25">
      <c r="A20" s="3" t="str">
        <f>IF('Biodiversity Assessment'!S36="?","Artificial",'Biodiversity Assessment'!S36)</f>
        <v>Artificial</v>
      </c>
      <c r="B20" s="71" t="str">
        <f>'Biodiversity Assessment'!E36</f>
        <v>P19</v>
      </c>
      <c r="C20" s="71">
        <f>'Biodiversity Assessment'!U36</f>
        <v>0</v>
      </c>
      <c r="G20" s="3">
        <v>19</v>
      </c>
      <c r="H20" s="3" t="str">
        <f t="shared" si="0"/>
        <v/>
      </c>
      <c r="I20" s="3">
        <f>SUMIF(Table77[Fragmentation],L20,Table77[Area])</f>
        <v>0</v>
      </c>
      <c r="L20" s="3">
        <v>19</v>
      </c>
    </row>
    <row r="21" spans="1:12" x14ac:dyDescent="0.25">
      <c r="A21" s="3" t="str">
        <f>IF('Biodiversity Assessment'!S37="?","Artificial",'Biodiversity Assessment'!S37)</f>
        <v>Artificial</v>
      </c>
      <c r="B21" s="71" t="str">
        <f>'Biodiversity Assessment'!E37</f>
        <v>P20</v>
      </c>
      <c r="C21" s="71">
        <f>'Biodiversity Assessment'!U37</f>
        <v>0</v>
      </c>
      <c r="G21" s="3">
        <v>20</v>
      </c>
      <c r="H21" s="3" t="str">
        <f t="shared" si="0"/>
        <v/>
      </c>
      <c r="I21" s="3">
        <f>SUMIF(Table77[Fragmentation],L21,Table77[Area])</f>
        <v>0</v>
      </c>
      <c r="L21" s="3">
        <v>20</v>
      </c>
    </row>
    <row r="22" spans="1:12" x14ac:dyDescent="0.25">
      <c r="A22" s="3" t="str">
        <f>IF('Biodiversity Assessment'!S38="?","Artificial",'Biodiversity Assessment'!S38)</f>
        <v>Artificial</v>
      </c>
      <c r="B22" s="71" t="str">
        <f>'Biodiversity Assessment'!E38</f>
        <v>P21</v>
      </c>
      <c r="C22" s="71">
        <f>'Biodiversity Assessment'!U38</f>
        <v>0</v>
      </c>
      <c r="G22" s="3">
        <v>21</v>
      </c>
      <c r="H22" s="3" t="str">
        <f t="shared" si="0"/>
        <v/>
      </c>
      <c r="I22" s="3">
        <f>SUMIF(Table77[Fragmentation],L22,Table77[Area])</f>
        <v>0</v>
      </c>
      <c r="L22" s="3">
        <v>21</v>
      </c>
    </row>
    <row r="23" spans="1:12" x14ac:dyDescent="0.25">
      <c r="A23" s="3" t="str">
        <f>IF('Biodiversity Assessment'!S39="?","Artificial",'Biodiversity Assessment'!S39)</f>
        <v>Artificial</v>
      </c>
      <c r="B23" s="71" t="str">
        <f>'Biodiversity Assessment'!E39</f>
        <v>P22</v>
      </c>
      <c r="C23" s="71">
        <f>'Biodiversity Assessment'!U39</f>
        <v>0</v>
      </c>
      <c r="G23" s="3">
        <v>22</v>
      </c>
      <c r="H23" s="3" t="str">
        <f t="shared" si="0"/>
        <v/>
      </c>
      <c r="I23" s="3">
        <f>SUMIF(Table77[Fragmentation],L23,Table77[Area])</f>
        <v>0</v>
      </c>
      <c r="L23" s="3">
        <v>22</v>
      </c>
    </row>
    <row r="24" spans="1:12" x14ac:dyDescent="0.25">
      <c r="A24" s="3" t="str">
        <f>IF('Biodiversity Assessment'!S40="?","Artificial",'Biodiversity Assessment'!S40)</f>
        <v>Artificial</v>
      </c>
      <c r="B24" s="71" t="str">
        <f>'Biodiversity Assessment'!E40</f>
        <v>P23</v>
      </c>
      <c r="C24" s="71">
        <f>'Biodiversity Assessment'!U40</f>
        <v>0</v>
      </c>
      <c r="G24" s="3">
        <v>23</v>
      </c>
      <c r="H24" s="3" t="str">
        <f t="shared" si="0"/>
        <v/>
      </c>
      <c r="I24" s="3">
        <f>SUMIF(Table77[Fragmentation],L24,Table77[Area])</f>
        <v>0</v>
      </c>
      <c r="L24" s="3">
        <v>23</v>
      </c>
    </row>
    <row r="25" spans="1:12" x14ac:dyDescent="0.25">
      <c r="A25" s="3" t="str">
        <f>IF('Biodiversity Assessment'!S41="?","Artificial",'Biodiversity Assessment'!S41)</f>
        <v>Artificial</v>
      </c>
      <c r="B25" s="71" t="str">
        <f>'Biodiversity Assessment'!E41</f>
        <v>P24</v>
      </c>
      <c r="C25" s="71">
        <f>'Biodiversity Assessment'!U41</f>
        <v>0</v>
      </c>
      <c r="G25" s="3">
        <v>24</v>
      </c>
      <c r="H25" s="3" t="str">
        <f t="shared" si="0"/>
        <v/>
      </c>
      <c r="I25" s="3">
        <f>SUMIF(Table77[Fragmentation],L25,Table77[Area])</f>
        <v>0</v>
      </c>
      <c r="L25" s="3">
        <v>24</v>
      </c>
    </row>
    <row r="26" spans="1:12" x14ac:dyDescent="0.25">
      <c r="A26" s="3" t="str">
        <f>IF('Biodiversity Assessment'!S42="?","Artificial",'Biodiversity Assessment'!S42)</f>
        <v>Artificial</v>
      </c>
      <c r="B26" s="71" t="str">
        <f>'Biodiversity Assessment'!E42</f>
        <v>P25</v>
      </c>
      <c r="C26" s="71">
        <f>'Biodiversity Assessment'!U42</f>
        <v>0</v>
      </c>
      <c r="G26" s="3">
        <v>25</v>
      </c>
      <c r="H26" s="3" t="str">
        <f t="shared" si="0"/>
        <v/>
      </c>
      <c r="I26" s="3">
        <f>SUMIF(Table77[Fragmentation],L26,Table77[Area])</f>
        <v>0</v>
      </c>
      <c r="L26" s="3">
        <v>25</v>
      </c>
    </row>
    <row r="27" spans="1:12" x14ac:dyDescent="0.25">
      <c r="A27" s="3" t="str">
        <f>IF('Biodiversity Assessment'!S43="?","Artificial",'Biodiversity Assessment'!S43)</f>
        <v>Artificial</v>
      </c>
      <c r="B27" s="71" t="str">
        <f>'Biodiversity Assessment'!E43</f>
        <v>P26</v>
      </c>
      <c r="C27" s="71">
        <f>'Biodiversity Assessment'!U43</f>
        <v>0</v>
      </c>
      <c r="G27" s="3">
        <v>26</v>
      </c>
      <c r="H27" s="3" t="str">
        <f t="shared" si="0"/>
        <v/>
      </c>
      <c r="I27" s="3">
        <f>SUMIF(Table77[Fragmentation],L27,Table77[Area])</f>
        <v>0</v>
      </c>
      <c r="L27" s="3">
        <v>26</v>
      </c>
    </row>
    <row r="28" spans="1:12" x14ac:dyDescent="0.25">
      <c r="A28" s="3" t="str">
        <f>IF('Biodiversity Assessment'!S44="?","Artificial",'Biodiversity Assessment'!S44)</f>
        <v>Artificial</v>
      </c>
      <c r="B28" s="71" t="str">
        <f>'Biodiversity Assessment'!E44</f>
        <v>P27</v>
      </c>
      <c r="C28" s="71">
        <f>'Biodiversity Assessment'!U44</f>
        <v>0</v>
      </c>
      <c r="G28" s="3">
        <v>27</v>
      </c>
      <c r="H28" s="3" t="str">
        <f t="shared" si="0"/>
        <v/>
      </c>
      <c r="I28" s="3">
        <f>SUMIF(Table77[Fragmentation],L28,Table77[Area])</f>
        <v>0</v>
      </c>
      <c r="L28" s="3">
        <v>27</v>
      </c>
    </row>
    <row r="29" spans="1:12" x14ac:dyDescent="0.25">
      <c r="A29" s="3" t="str">
        <f>IF('Biodiversity Assessment'!S45="?","Artificial",'Biodiversity Assessment'!S45)</f>
        <v>Artificial</v>
      </c>
      <c r="B29" s="71" t="str">
        <f>'Biodiversity Assessment'!E45</f>
        <v>P28</v>
      </c>
      <c r="C29" s="71">
        <f>'Biodiversity Assessment'!U45</f>
        <v>0</v>
      </c>
      <c r="G29" s="3">
        <v>28</v>
      </c>
      <c r="H29" s="3" t="str">
        <f t="shared" si="0"/>
        <v/>
      </c>
      <c r="I29" s="3">
        <f>SUMIF(Table77[Fragmentation],L29,Table77[Area])</f>
        <v>0</v>
      </c>
      <c r="L29" s="3">
        <v>28</v>
      </c>
    </row>
    <row r="30" spans="1:12" x14ac:dyDescent="0.25">
      <c r="A30" s="3" t="str">
        <f>IF('Biodiversity Assessment'!S46="?","Artificial",'Biodiversity Assessment'!S46)</f>
        <v>Artificial</v>
      </c>
      <c r="B30" s="71" t="str">
        <f>'Biodiversity Assessment'!E46</f>
        <v>P29</v>
      </c>
      <c r="C30" s="71">
        <f>'Biodiversity Assessment'!U46</f>
        <v>0</v>
      </c>
      <c r="G30" s="3">
        <v>29</v>
      </c>
      <c r="H30" s="3" t="str">
        <f t="shared" si="0"/>
        <v/>
      </c>
      <c r="I30" s="3">
        <f>SUMIF(Table77[Fragmentation],L30,Table77[Area])</f>
        <v>0</v>
      </c>
      <c r="L30" s="3">
        <v>29</v>
      </c>
    </row>
    <row r="31" spans="1:12" x14ac:dyDescent="0.25">
      <c r="A31" s="3" t="str">
        <f>IF('Biodiversity Assessment'!S47="?","Artificial",'Biodiversity Assessment'!S47)</f>
        <v>Artificial</v>
      </c>
      <c r="B31" s="71" t="str">
        <f>'Biodiversity Assessment'!E47</f>
        <v>P30</v>
      </c>
      <c r="C31" s="71">
        <f>'Biodiversity Assessment'!U47</f>
        <v>0</v>
      </c>
      <c r="G31" s="3">
        <v>30</v>
      </c>
      <c r="H31" s="3" t="str">
        <f t="shared" si="0"/>
        <v/>
      </c>
      <c r="I31" s="3">
        <f>SUMIF(Table77[Fragmentation],L31,Table77[Area])</f>
        <v>0</v>
      </c>
      <c r="L31" s="3">
        <v>30</v>
      </c>
    </row>
    <row r="32" spans="1:12" x14ac:dyDescent="0.25">
      <c r="G32" s="3" t="s">
        <v>505</v>
      </c>
      <c r="H32" s="3" t="str">
        <f t="shared" si="0"/>
        <v/>
      </c>
      <c r="I32" s="3">
        <f>SUMIF(Table77[Fragmentation],L32,Table77[Area])</f>
        <v>0</v>
      </c>
      <c r="L32" s="3" t="s">
        <v>505</v>
      </c>
    </row>
  </sheetData>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T o u r   x m l n s : x s i = " h t t p : / / w w w . w 3 . o r g / 2 0 0 1 / X M L S c h e m a - i n s t a n c e "   x m l n s : x s d = " h t t p : / / w w w . w 3 . o r g / 2 0 0 1 / X M L S c h e m a "   N a m e = " T o u r   1 "   D e s c r i p t i o n = " S o m e   d e s c r i p t i o n   f o r   t h e   t o u r   g o e s   h e r e "   x m l n s = " h t t p : / / m i c r o s o f t . d a t a . v i s u a l i z a t i o n . e n g i n e . t o u r s / 1 . 0 " > < S c e n e s > < S c e n e   C u s t o m M a p G u i d = " 0 0 0 0 0 0 0 0 - 0 0 0 0 - 0 0 0 0 - 0 0 0 0 - 0 0 0 0 0 0 0 0 0 0 0 0 "   C u s t o m M a p I d = " 0 0 0 0 0 0 0 0 - 0 0 0 0 - 0 0 0 0 - 0 0 0 0 - 0 0 0 0 0 0 0 0 0 0 0 0 "   S c e n e I d = " b b a 0 8 a 1 a - d 1 2 5 - 4 1 7 a - a f 6 2 - f d e 9 e 9 1 a e c 0 7 " > < T r a n s i t i o n > M o v e T o < / T r a n s i t i o n > < E f f e c t > S t a t i o n < / E f f e c t > < T h e m e > B i n g R o a d < / T h e m e > < T h e m e W i t h L a b e l > f a l s e < / T h e m e W i t h L a b e l > < F l a t M o d e E n a b l e d > f a l s e < / F l a t M o d e E n a b l e d > < D u r a t i o n > 1 0 0 0 0 0 0 0 0 < / D u r a t i o n > < T r a n s i t i o n D u r a t i o n > 3 0 0 0 0 0 0 0 < / T r a n s i t i o n D u r a t i o n > < S p e e d > 0 . 5 < / S p e e d > < F r a m e > < C a m e r a > < L a t i t u d e > 1 2 . 4 7 8 0 1 4 3 9 1 8 0 2 5 4 4 < / L a t i t u d e > < L o n g i t u d e > 2 3 . 3 4 4 6 1 7 0 4 5 4 6 5 0 8 2 < / L o n g i t u d e > < R o t a t i o n > 0 < / R o t a t i o n > < P i v o t A n g l e > - 0 . 0 0 8 3 6 4 3 3 9 3 0 6 3 4 5 8 < / P i v o t A n g l e > < D i s t a n c e > 1 . 8 < / D i s t a n c e > < / C a m e r a > < I m a g e > i V B O R w 0 K G g o A A A A N S U h E U g A A A N Q A A A B 1 C A Y A A A A 2 n s 9 T A A A A A X N S R 0 I A r s 4 c 6 Q A A A A R n Q U 1 B A A C x j w v 8 Y Q U A A A A J c E h Z c w A A A m I A A A J i A W y J d J c A A D 0 n S U R B V H h e 7 X 1 n d 1 v J d u V B B n M O o k i R I q k c q B x a 3 V J L n Z 5 f 8 P M s j z 3 2 + M 1 z W G 5 7 v D x r P s w v 8 B + Z z z N r z S x 7 b L / X O S j n L F G B Q c x J z J k A C H D O P l W F e w G C J E C x u w m K W y p W 3 Q D g 3 l u 1 7 w l V d c r x u 6 t 3 F m g T q 4 L D 5 a H M 4 g Y K B B Y o H A 5 T J B K R t L C g H q k 9 d 8 R t f 7 A z Q A 7 s 1 J i Z n q b M r C y 9 R f S 0 z 0 0 D k y 4 + l 6 g w M 0 K H K 0 P U M e K i r j E X B e Y X 6 J 2 q C b r R n U 9 n a m b J 7 3 X K Z 4 J h B y 3 M z 9 J C Z I H c H j d / v y N 6 X R k Z m b I N m P 1 u t 5 u c T q e k + f k Q Z W b n 0 j d 3 n l I g G J L z N p E 6 N g m 1 S m S U H K N g M B J t s C C J S Y D J M 9 w L N I P 2 q b e B w q w w H a m c l / L V V 1 7 K p d c 0 5 S i l o 1 U h 8 v H 5 l 1 u 8 Q g 6 D X a U h K s 5 i U n j V 9 + L 3 Z m d m K C s 7 O 0 q S i f E x O T Y 3 7 6 A s n 5 O C g S D l F + T T 3 F y A z w 9 T d k 4 u d X d 1 U N W 2 G n o 9 0 E 9 l 5 V v k c / j 8 3 N w s Z W Z m R c n l 9 n r p y 1 t P + N 4 i c s 4 m k s c m o V I A G p + / + G g M k R J J p I M V Q S r I i N C N d h 9 L E z k g + + P h 9 y x Q g M n G A o U + 3 B X Q e 4 m + e e n T J a K 9 5 f N U k R e m 8 V k n 5 f F 3 A n f v 3 K V j x 4 / R y P A Q S 6 M I F Z W U y n 5 D L q C v t 5 t J U 0 E 9 X Z 1 U U V l F L p d L H y G R R t h 2 O J D U d Y N I Q q 5 Z J h d L S o / H I 0 T 8 7 k E z h f k 3 N p E c m F B 3 N w m V B L L K j v K b f H k i A S h / u H O O p Z K D r r d p Y s Q d B 0 C g z l G o b 0 x S J l Z p d o S u t L I I i s P x 8 k H K y 8 v V W 0 R N T c 2 0 b V s V e V m K T E 5 O C j m g u u X l 5 Y u U 8 v p 8 f M x H E a h 0 T I r 5 U I g 8 f C 6 A 4 1 l Z L N W Y P O H 5 e W J 5 y s R y 0 8 T Y K B U W l 0 Q J i R w E m 5 6 c o L y C Q v L 4 M u i z a w / 4 7 E 2 s B M f v r 2 0 S a j n k V x 6 l q S m i E D f M p Y i E P N s b p k r / I P U E S q m 2 a J 5 K m C D f N P m F T O Y 8 O 0 C o b r a H u p h U B 7 e G 6 G q L g 7 Y W u G j f l p D Y W 8 P T X D m B E V H Z p v g C c n N z a X x s j H b t 3 q W + Q K O j g 9 W 4 q i r q Z 4 l U U b m N p p g E U O 9 6 e 7 q o Y m u V n B O Y m 5 M X A V T E G V Y V X w y 4 6 X C N R 4 g z P T X J + 3 P k G n F e R q a y t Y K B A P n 8 f i E e c u w L k 4 e + v / 9 U v n M T i b F J q G X g L Y R 6 N x 9 j J w H 2 H C / 1 D 3 b M S f n b 5 g y x g d 7 d P i f H 7 a o b c K I 6 S C 8 e 3 6 E T J 4 7 p P R Z e v W q j 2 t r t e m s x b t 2 6 Q y d P H t d b F g L c 8 C c m J q i k p E T v Y Z W O y T 8 7 M 0 3 Z u X l C h H k m B a S Y H R 2 j T q r M 5 / u I h P g 7 g i y 5 l E M E p H K w O j j 0 e o A m J m f 4 e 4 s p J y d b j k N N x P d 8 c + 8 5 z W / a V w m h 3 E O b i E F O e Q M 5 c w + z d A h K Y z R k i k / A B S E T C Z k a K g J R M g E V e a r R 7 S q b F 4 n U 2 / 4 i I Z m A y Y l J X U q M U D B I s 2 z f j I 6 O 0 v P n L + j J k 0 b q 6 e l l e + o + F R Q U y D n P n 7 2 Q H K q e P z N L r t 1 I 1 k E m i E B f d 3 n O A k X m g 6 L y G T J B J Y Q 0 C g X m K M A v k j 1 7 d l F x c R H 5 e R + c I G M s I f H 7 Z / b W 0 A f H D 8 h n N h E L l l D 3 1 B P e h M B X d I T f 2 L F S y Z D H 5 P H A / q K s C B 1 g d c 3 t X G D b y E 3 N r 1 1 0 s m q C H C w B o G p d u 3 a D z p w 5 r T + h A P W r s 6 O T 6 u r r R d J d u 3 a d d u y o p 4 q K C n 2 G h Y c P H 9 O h Q w f 1 1 t L A d Q 8 O D p L H 4 6 W i o k K 9 N x Y t r x 1 U X 6 r u p b X 1 F d X V 1 Q r x 2 t s 7 a O f O H T Q 9 P S 0 k a 2 l u p f o d d S L l A O R I s K / m W J I V F B b S Z z e e y L F N K D h + f 3 2 T U I D b m 0 W O z F 2 s 4 o W k U R o i L U e m + H 1 o d t i z o y R E 1 Q V h 2 Q c 8 e v S Y 3 + 7 j d P b s u 9 H G C U A 1 G x u f E C k A 8 q K h Q q p 0 M M n 6 e v u 4 w R b w t U T E d n q P P 7 s c W o d c V F d s / a Y B H B f P n j 1 j d f G k 3 k P i W v c 6 w x T i 3 + r u 6 h Z C G Y y O D F N h U b G U c U 0 R 3 C P n c G x A H Y T T A / c N 1 Q 8 e Q Z D q 9 o t 2 G m H 1 c B P c B j 7 b J B T l V h z h h h e J q n d G M g H J E C n H t 0 D z r N 3 V F 8 9 T W c 7 i R g 3 g M 3 A u 5 O T k 6 D 3 c s O c C N D g 0 S F v K y 6 W B d n f 3 U F l Z K V / L F P X 3 9 1 N 1 9 T a R H N h f X F x M u b k 5 N D 4 + T i 9 f N l N 5 e R m n c s r P z 9 P f t j T a 2 9 q p Z n u N e P 7 a R 3 1 U y 9 c 5 P D x E X V 0 9 L P U a 9 F m K 4 F A X g 8 G A e A r t 5 D e E x 8 s G 1 4 p j o V B Q V N H c v H z y + r P p y 1 s P 9 d l v L 9 5 6 Q m W U H G H V K z k V L 3 7 b I F 4 i x Q O k 6 O n t p d K S E r p 6 9 T r t 2 7 e X G y R R X l 6 e 5 Q w I B O S 8 b F Y P 7 b j 4 / S V 6 / / w 5 v W X h 5 s 3 b 4 q Q A 2 a q q K v X e x b j N N t a e A 0 c p x 2 / d U x 8 8 g J X b W P K N U j i y w P k 4 b Y 9 z i E x O j F N O r i I r y I P P G Y L Z c y Q Q E d 7 B / v 7 X 1 N g 3 J s f e V j C h 7 r + 1 h P I V w f G w m E y J i J N o n x 3 o e 0 q E v r 6 + q G 0 C 9 W t k Z I y O H D k k x 2 B D w V 4 p K C h k N a + d J s Y n a d / + v e K 1 a 2 1 t Y 1 u q X F z i i Y D v G h 4 e l g 7 Y p u l a l h 7 K j q s p D F O m d 4 G + a 1 I e R r T 9 C z s D F G H p C 6 k E 6 Y O + q I L C I j k + w c T J Z e L c u / + U x r K P y r 6 i z A g d q m R 1 d G y E J a C y w 6 D e + T M y p c 8 q T z t B D K G Q I P 3 g 0 I D j 5 P q L b j n + N s L x 2 Y 2 3 k 1 C e / M P i E o e a Z y f S S m T K 8 U V o M r D Y O b o U o Y A n T x v p w P 5 9 e k s B D R 7 S I d 8 / T z V Z r 8 U 5 g E Y J B u R k Z 9 H + A / v Z n h l l 2 8 U T o y b a 0 d P T Q 2 2 d A z R X q J w d I M + J 6 p C 6 x j k H D b x + L S q k q K R 8 n / G u 8 4 H + P h m C B F L f 6 I 5 1 Y N h H b m C k x M 3 n o 3 R i T z F 5 9 Y C L 6 e k p c j q c T L I M c a d f e z l H O Z l e O l T t F n v r m / s v 1 Y l v G R y f v 4 W E c j O Z A g H l f F j O X k p E r k S A 6 9 y p t K B F g J 0 0 x m / 1 7 m A V 5 W d E q L 5 E q Y a / u z 9 H / i y l U l W x V O l 9 + i 2 d 1 6 r d n d t 3 6 e i x I 1 E n x d M n T 6 m B b R 1 I A q i F L S 2 t l M e 2 U 3 l Z O X 3 X 7 J f P r I Q P m C D o 9 M 3 J y a V R l l Q F 2 v E w O N B P l L 2 V H n U r s m V 6 F u R 6 q v I t F R Y e P b j O P 3 u y Q B / t D r N 9 5 d F H M I y J i e p y k s O J Y U z K A z g 5 P U P F h Q X 0 9 T 3 l x n + b 4 P r N 3 / 7 9 P + n y W w F X H i R T r C c P S I Z M G d z Y M r g t e f g t D W k Q j j j I H x q k 6 t L Y D t y m Q T c 3 s g X y c x u 9 1 Z l J P d N 5 F J h 3 0 t i s k 2 q 1 J 2 7 n F j f 5 + L u G p p w 0 w f s X c u q o 4 + k l 2 l J e J o b + f C R M M 9 w w I Z 3 a 2 t q p k u 0 k k B + N t r S U p Q 7 v / x Y j M Z J E 2 7 C b W n q m a G G y g 5 w s U d D w 5 X e Y E C U F m X J d r / i c E N / T 8 L R 1 n Q C c K S B U N t / Q n S 4 / h Y e f i + S E a o r r m A v M R a V f Y G 5 W 7 E I 8 v 7 q K E m r r H 5 b 9 b w t Y Q j 1 I 7 j W 8 A e A p O M R v W 4 t M a K D A S m R y M X n O s x R K B E i M l y + b Z G j Q 1 O Q U P e 2 J U G H 1 E X 3 U w v k d Q f q + 2 U v 8 M u d y 4 o G w + N 3 J o X Y q d 3 Z I A 6 2 v r 6 O W 5 l d U V 7 + d i o q U z W O A 3 / 2 + J V O I k S r y 2 U Y 6 V h W i 1 6 w S Q o J 2 d X V L H 1 n T g J s 6 x 6 x B t J C 6 7 9 f P C o m b m 1 v E D o S H c d e u H X I c + 4 N M S l y r / T p m Z q Z F E h q S f f + o V f K 3 A Y 7 P b 7 4 d h P I y m W Z n V 6 f m b X e / p P B 8 k H w + L 1 V X V + u 9 i 3 G 3 0 y N S K B G 8 3 L b Y Z I v i G N s 6 + X 5 r + I 6 d W G 5 H i B p K h o W k w F d f f U M F B f k s T c K U m Z l J w V C Q T p 0 8 Q a 3 D L u o e d V F I T / X Y k h u W 0 e m Q n g b f 8 v f G 3 9 E 8 f z 5 n / J o 4 P O B + h 0 r 3 + v U g 7 5 8 X d / 1 8 x c f 6 T K J a f x t t 3 7 Z F n C u Q P E g g k l H v k B u V E L h 7 9 x 4 1 N B y k 2 X A G 3 / C I u P v x T C 8 9 b Z P j G x 1 v B a H 8 R Y f Y i F 6 e T I m I Z A C H w 6 1 b c F O f 0 H t i 8 S 3 b M c t 8 X D 7 f P O S R C Y L x s N t f m M Y B m 6 i h I i i D a 9 E Z j H 6 m 5 / 0 e K m O y P O n 3 E r d 5 U T 3 R O Y v f R N 9 X V f 6 8 S L 7 V A M O Y 9 u z Z T c + e P Z c c A E m + b U I H r m x G H R R 4 d n Z J B F X Q u P k f d T v J M 9 E o 4 x H x n U e P Y s R J Q F 4 A + D 5 8 9 s q z D j l 3 I 8 P x x c 2 H y z S F 9 E d m a Q N X f F h U J J A m k Z q 3 E p l G R k a o s D D x M B 4 Z U a 5 R m h O h Q b a J 4 r 8 O 3 2 E / L x 6 J j u / J e k V b t 6 o h S H c 7 v T Q 2 Z z V k n L + W g F T C M 8 i A n c Q 2 E Q h w t S 2 T J Z 8 6 j u k l 7 9 Y G 1 U Y c 8 F z h 5 T P S 6 s m T p z Q 2 O i b u / + b m V j p 9 + q Q c w z P B s 7 / + o k t / c m N i l e + 1 9 I D b l 8 2 S S Y 2 A Q I M x x E m W T O 9 s V 2 / m q a l p y e M x H b T p V o z X k 4 v J B C x H J q B 5 0 C 2 j 1 O 1 4 P m 0 N B 4 K j w P 5 L + L 5 l L l t U v K W O g / B 2 o A s A U q a s r I x u 3 r o j 9 i D c 8 X D p G 8 y F l M R K B P S D g T A Y r I t n m Z + f T y d O H p c + N g x V A r D f K W J 4 g U r y M m X f R o X j i 1 s b V 0 I 5 s h v E a L Z 7 9 O I J F L 9 t B 6 Z l t L e x D Z F g W g U E 3 X c t y x N l K Z S z J M P s h 5 L s M E 2 w 5 O m d c I m 6 Z 4 f P t U B s s t H x q g A 9 7 v X S n r I Q 3 e 7 w i q o H H K w I U S l / P l U g T k W i 4 V F 2 9 Q 0 Y H B q i R 8 N b 9 Z b C 6 e 1 B C k 6 P U F t b B 1 V W V o i 3 0 Q 5 I K 0 g 7 D M p F 5 / H Y + L h I r z y 2 B S G 9 1 D n z d K u l V 8 o b E R t W Q r n z G q S C j c 2 U K p n w Q s V s 2 M o a S 1 I Y X G v 3 p U S m H S U 2 b w S j n y U Z C I G p 7 d 3 j i 8 k E B M I O m p h V k g n T 5 C + 3 + q J k A h 7 3 e m g 2 T k I m g 6 I s R S b M g Y I U w S i O 1 t Z W G h o a l u d l U F J c L H 1 X C B B j 8 P 3 z I P X 2 9 s l I D 5 B p l i V Q Z 2 e n P q q k F a a h P H j w S D y I u D q / 1 0 t X r 1 6 L P m t I q m O 1 Z V L e i H B 8 e e v R 0 q 0 q T Z F R c p A m J 9 U o C D u h 7 F i O T H Y U s x S o 4 o b f 2 O + J C Z w C g H T v 1 g b I 4 1 Q T D Q F 8 r S k / f d p I + / U I i a d 9 H i b S Y q d E M n D z a w + D b 5 e C s a m g C o p b v t 7 a x q W A 0 P n u U c p h C W S e B S T H y M i o T K 9 H G Z i e n p F O W x A j H q / 5 2 i F R z b 3 Z M T I 6 q m J b F B V R B x O 0 u k Z 5 Q i G V M B Q J v 4 d 6 g N c S Z d Q L N I d H X a N y 3 k b C h p R Q s J v i O 2 7 t S L R v K V Q y m R 7 0 x E Y h y v a q u B H w 0 H l Z N b M 3 M n s Z K o 8 B D P v V Y j k y A S C O s d O g S t q 3 8 a v O h S D l a m c D 7 B 1 D o M L C g m g Z y M r K F N W v v 1 9 P R r S h l N X E R G Q C C g s K K C M j Q 8 Y W 5 u T G D p P C / t n Z O e k A x n H Y a B g X a F T A j Q a n v M I 2 U H L m H o y R T I C d Q K m Q C V + J 8 F 0 g D 9 L h o h 4 6 t 3 2 S T t V Y H b P L o e G g N a u 1 e 0 x 1 c r 4 p c n 0 r s I t x r C p I 7 9 d O 6 S 2 i F 0 O Z 8 j w S I f 5 5 o D / J 7 h p P F n C P Q 7 K Z 2 c O A + W 6 / X 8 2 h g k T c t W s n d X b 3 k s v t p g N b 8 x f V X 7 q n D S W h M l n V C 4 W W H j l u L 6 8 E q F k f x L m n 8 X k 0 m n j V z w 4 M 8 Q G u N w 6 S J 0 N 1 z E J a r C R l k s V E g o G 5 8 b j b 5 a W L r y w H A z y I 3 d 2 x I 8 B x L 6 / a 2 k R S B N k 2 u / x K e f G U u p f 8 c 7 I D U / L j J Q 9 + B 1 N M 8 J L b v r 1 G 9 u 3 c U c f q s p K W + 7 e s P J 8 r n e D 4 6 v b j 1 T 2 9 d Y h I 5 n 7 R z U E o 8 0 Z O l V B o D 1 D l E l H G T B d P B l A 5 7 e r U 1 y 9 j J + z 9 m G g o n 6 Y 8 P w a 1 q n B i c B p g O v 1 S 1 4 P Y E W 6 3 i 7 K z E 4 9 y X w p m b F 8 i U s E + Q 7 A X x K S A F I N r H q M o 4 P V r 7 J v Q Z 6 Y / N o z K 5 8 o 7 I G 9 B V J 4 h T q p k w p g 9 u M r x l f H A d 8 N g T + Z 7 A E Q x s m N r + E F U d X y f f 2 M l Q O t 6 v 1 6 d j + k X b 4 J s D 0 a o t 0 g Z 4 / Y O H 2 6 Q 4 U L x e D W s X g D o S 4 I X 8 C E T L x X A 6 X D / / g O 9 Z Q E E m 5 1 V U + R B p u b m Z p m D B Q m F Y 7 t L s x b V Z 7 q m D a P y I Z r r m 6 p 6 i Q b A Y q 7 Q 5 5 9 9 J d 6 q L V u 2 J C 1 l E G z l 4 U P V I F + + a K K 9 e / d K G X D z V 4 A o G E K U C H C n X 2 A y Q e 0 E T l Y H h O i H t y Y e r b A S I A 3 M 7 2 N 2 L 6 Z / w E W O E S C Y U m 9 Q W 2 T 1 T 8 F j d 4 i J d + n S F b 0 n O W A c X 2 d H 7 G i I g Y G B G G k t U o w i d P H i J S Y V P 4 z k H m l a w P V f / u 4 f 0 n 7 6 h j P n g K g O x r O 3 G o h r W Y c 6 t u P S x c v 0 y c 8 + I p / P l 7 K x / u L F S 5 m c B 3 I l w r a C M G X 7 I j Q 0 r R Y F M J g O O m l 7 U W z f F X i M m b j b C 0 M S j A X B N L O 9 E R q Y s h o q S I r 9 k w H Y R U r 5 c L 6 + Q U c a Q C Y 1 h R 0 k 3 7 t 3 j 9 w P P H A S I o x f F v D A x U + / B z I y / P K i w v n J A M / I 6 / P K S H P z 8 o H X c O v W r d F t 9 d u Z l J + X Q 4 + f N M q U l X y f k 0 Z m Y + 8 5 H e H 4 6 s 6 T 1 b X A d Q K X J 4 M C z h p R y R K 5 y p M l G B q j H Q M D r 2 l y c o L q 6 x O T I R l 8 + c V X d O r 0 S Y k d k Q z u d P l o f N a x 6 F r s w P 0 k K y U N I I 3 s f U t Q y 4 4 c O a y 3 L M C p U F E R K 4 U h x b p 7 + q m 8 h u 3 T s I M q b R M P l w J s K U g k G R n P N i 1 s T 5 A Y M N + N G I C I Q x G Y C 4 o L J D Q f o v a R O Q o t p H Z v 6 w 1 w t v B N p m 9 a 8 N c J k Y w T Y j U 4 x S o V A N X k 0 q X L d O P G L Y m Y + i Z k A m B T J E s m A M O M l i N T K r j Z Y U k U S E o A Z I Q K m 4 h M g B m M C x L h e e K 5 v m B 1 d V v d X r r X v i A h n O 9 3 L Y 6 / H g / c N 9 R K O C B g q + 2 O C x 8 N Z G Z l S / B M T F R s b m o W 0 i + M 9 S e s 4 3 R K a W 1 D w S 0 d D C b n J s f N b m H b B M i 2 G f l w j W P 7 M t s K C G d 8 7 t z Z 6 A j p N 0 V R c e I R 6 m 8 C N P Z k g J c E 1 p I C s r d i Y u W c D P I 1 U Z a W A i Q I R t Z D y s D b h / l f D 2 5 e Z A 1 A E X 1 k h h 9 k E o A t h T l W O d k 5 M c 8 S d d L b 2 y t k R V Q l B H 3 Z v X c 3 t T I B K y u 3 k i u 8 O j t x v S C t C R X x b E v a b s I p f e O q g U 2 x j X G 2 d p b O 1 0 1 L Y B R 8 H i O k 1 4 J E d n R 2 r n 3 0 n 1 Q k c d N r p e a 1 D r n F V o L b O l n A 0 w f H x N a t W + j s u f f o Y 8 u n I p M h k 3 j k I p k Q 5 D M e G I 0 B O w r k L S g q k W F L + / f v p 3 F W A y N j i 0 d p p B O 4 B e G N k 5 4 p G L S k k k k G 9 n I 8 T l Y H y e t 2 i J 6 P 1 N T U J C r H W g O N c q 2 x 3 H 3 F A 9 L X D E E y + W q A Z w Q C H K y w n A a Y z n G x O V b 9 6 5 t Y / E L a w 9 I H g 3 D t 8 P s z d I n B V Y m g M d A g i o q K q a w c A 2 d j 6 z m d U t r a U L 7 C f U l L J z v g g k a Y L X w W b 0 r l 4 R q l p p f N C f t m 3 g R 7 u T H 9 1 L D b Z B h B 8 S b A e D 5 7 e L H 5 i E O k 1 f U 2 r + S P u v i l p o 8 Z X L 9 + U 5 w T d s B 1 j 1 m 9 A F e l h H 7 u b G + j 8 b E R C U G W O a s I l o 4 p b V U + t P 1 k b C c 7 E D 0 V n a T 4 3 C S T C e d h m v b R o 4 f p C K f r 1 2 4 I 0 d Y C d + 7 c X d S Q 1 g K p e v j s Q L y L t V q F Z q t e W Q S Y 0 d N I c u a 7 J Y Z F 2 7 C L 2 L S V 3 8 O A W 0 w 7 a W a 1 E 6 r n N K v b A N R B e A B x P 1 P T U 1 S 9 v Z Y K C o v F U Y H 9 6 Y q 0 J J T D 6 W Y j O T Y + R D I 4 s U 2 9 X T E J L j 8 v T z o Y o Z Z B n U F Q f g S X v H j x c k p 2 y l I w 0 z b W G o g Y m y r s U u r 7 V U 6 K t A N S y u t c 3 O j r y 9 0 U D M w K c S 6 3 + C R o z W T + u 3 S 1 1 U s d T D I Q 7 U a 7 k p L X r 9 + Q T m X Y T 7 K q o g O j J t R Y w m w m I V e C n J d u S E s b y p m 9 K 0 Y 6 J Y P 3 a g P y a W B 0 d H H 8 b R j E W A X j n X d O S f z x V I i a C O g 0 / S H s M s Q h X w 1 q C u 3 2 z 5 u T y h / s o 8 k J a z 4 T 4 h X i n i / s j O + c N U / d A t T D 2 l 0 H Z S w f W A R V T w Q v / / G 4 P T Q f n m e 7 C s / O q v N 0 S W l p Q 0 E j s E s R e + N P R A Q M 8 T E x G 3 r 7 + i S + X D z g U o a X D 4 0 C M 1 L N s K E 3 A d 6 2 9 + 7 e e 2 N y 2 o E 4 e q s B o i M Z 4 G p e a g / g a r G 1 s o I + Y S F 8 t L R f J N Y Z f m H h N r 1 e t 2 z b b S 0 J J x G H p 0 O F 0 d B p J a X l k u M 0 l 9 v F 3 + G j 8 T k l s d I t p a X K Z 5 w R y T b U M z r Y C r x N W A H D P m r A w D 6 Y F U N w 6 u r q E r p 8 U 8 X R Y 0 f p / r 3 7 e i s W q y F a K l I P t s 1 c y K r i 3 a U W q d B H 9 S a e P w A 2 I i Y P Y u R F V 1 e X B L i 0 d z 1 g k Q I g 0 R R / Y B d f D 2 y o s V k H D Q 8 N a n X W I S 7 + Y 9 v i J V 1 6 I O 0 I 5 c 7 b u 6 S N k 6 i B f r B j N q o e 9 v X 1 R 6 O Z x g P q n h 1 Y i w l r K j 1 + / G R V D R / A c C h 0 W I J U u A b 8 P n J 0 z n Z 1 d k n 5 / o P U 1 l R a 6 t 4 T Y W T G S X 6 P d X 6 R 3 5 p 0 a G C P U 7 E a Y K j S 4 c O H q L K y U k 2 B 7 7 B i T C S S T H a 8 f O 0 W J w l G X 6 B e J L A n P o N X P a O p b W 2 9 r j 8 G 0 s 6 G C v B L D w 3 c n p Z D J z d c j P a G C r f c 2 x 2 r V M Q D 0 X p q a q p l a E w q w D X d u H 5 T G k l d f Z 3 s w 5 t 7 y 5 Z y u Q a n 0 0 V V 2 6 q k f + c I N 0 a 4 7 j E 1 P B m E I 8 l 5 I a + 1 + W R 6 v g H i P i D u H h w U 9 o Z + V U 8 s f B N A y i B h v l U f q 9 T J A s / p + 2 Y V 2 R Y B c Q x m p 6 f l + y L i k l z c B t Z z S r v 5 U P D G J U M k g 8 q q b d K 5 i L d o o j F l A N 7 6 S 4 2 m x l t z B 9 t c S 8 X m i w c i s O L 7 T r 9 z S u + J h R p p H a t q w W 7 D 1 H A M 9 c H 6 u M s h F F T T L k z C e D l 8 D h 4 z q E z o W 4 N q e 6 x i g v J 9 c 0 L g w c E h e T l A V c a 1 n a + f 1 d + 2 9 g g G L O 8 f Z g I v B x F E u h 4 z 8 y w 7 K i M z S 6 n 1 Z k c a J X l Z p U v K y K + S B p E s m Q C t P S w L 9 E W Z 2 N y J g L c l l u 5 c D l D v M A U C o 6 o h e Z Y D S I V x b v G A C x / j C R G C C 2 P p E i H I B M F Y O 5 M w Y Q + f w y B c d A P A / o N t g 9 + A x I C 9 i I G + Z l Q I J C X u B 6 u D G C x l 4 6 w G d p X 6 c u t K H c l c O a g f / v 2 b 7 Z Z d i 2 v s 6 + 2 W / U N D y j u b L i m t V L 5 g 2 A q D F Y + l S L a S H g + g I 9 F M D 1 8 K 2 2 t q p D M 4 0 e D U 1 w O v p S H F r 5 C x H M L h p Y 1 u x L y D Z F S G f u y w H c 8 S N m C q q M i 1 V E f E U 2 8 b W f 3 3 4 t k j A M s X X 3 w l I Z g N D m 5 N 1 o G i 6 s 5 e g 3 7 R G P h F N g w 7 a n F b W K 8 p r Z w S L A S i x F m K W K t B s q M j E N f O r h r C 9 r l x 4 y a V J r C / V s L Q 0 M q j x r E 6 B q T N v X v 3 R Y r e u 3 u f K v Q U i z d F W X a s c w O d s a l 4 / f D s M R U E A V j + 5 V / + l a W K g z 7 5 5 K P o d B V I v c c 9 y b n m U Y u o S o S y h r c P y 5 Y W l 5 b L f q j 4 6 Y S 0 s q H C 4 e Q c E Q a Y D Z s M J M p p M r o h A 4 T C q h g g I W y f 0 6 c T 2 0 o r w Z X C c h l Y y Q I S F F P S M S 1 i L Z C X Y H Y y Y J b G W Q 6 w 2 7 D E D j q Z 4 R 3 9 1 a 9 + I b a a / R m 2 D i V B J l O P k i / Q s 3 4 3 F R a V 2 D y Z X N f I d P 2 n Q 0 o r G y r C r 7 1 U p F J D 6 c Q i l S k R g o h 1 n C S g 2 t m j r a 4 W 1 d X b d C k 5 J E v 4 V J B o M u O l 1 u W 9 f n j + L S 2 v 6 O O P P x R p C d s T d h q i G p m 6 e d z r p o 6 R J F 4 Y f E s x 1 c k b k E 7 2 f k I 5 z n / s 7 W A 9 p 7 S x o b z Z 9 j d X L D w 2 A 9 s g F A r S 3 N y s e O e G h 5 d X r 8 b H U w t j t R a D N 1 e y 2 X 4 s F E 5 e 1 y U L W O 8 K Q B C V j o 4 O u n b 1 u q x g i C n y 8 C j u 3 F m / i O D o X m h s f C a j H x C 2 O X l A C n H 9 M W l Q i 1 3 D Y e l W U P v V 8 Y l J v P A W t 4 n 1 m N L G h n L 5 i / i Z J 5 Z Q 9 p U B D Y 5 W O 8 Q D V l p a I o 0 B M P 1 Q c D G D F O a 7 E I M u F Z j v W y 3 w u 3 Z v 2 E 8 B 2 D 9 Y D P s I q 5 P V B b E 2 J B 5 L C 6 t s h f k F M m P 3 z L v v C G G w 2 i F e a t I B G w d 8 p t t h R c p N D t w I 8 U H 1 X 8 r d 0 8 o G m 5 g Y V / s 5 D b x e 3 C G 9 X p E 2 N p R 9 q l I i U s X D v t R L X X 2 t r D L x 9 d f f 0 n f f f S / E a m 9 v l / g R 1 6 7 d S N h A l k O i T u B U A E P + h 1 D h U g E 6 Y D G 6 H t h R s l j l b R t 2 0 o E G i y B Q w 6 D m w p O Z 6 N o x u d D t T s 4 J Y S A v S J 0 L c 9 R O 3 o f F D N z k d s p R 1 j K 4 8 m 1 t Y T 0 n x / e P X q z c O t c B I v 5 d b A + p t Z 7 i + 6 I S E e x Y 6 Y B 4 n g x Z 0 I j x h k 0 k G W C b q Q X B L M C D h 7 4 l 9 O 3 g N + F t Q j u C T Z Z K 4 J V 4 Q C 3 a t 8 8 2 n z w F 4 D r e 1 H Y z w F q 4 x 4 4 d 1 V t q R i 8 e g b 1 P K p m A M X j 0 3 2 H 5 U L 0 d D 4 R m W 2 r d Y U z d w M i P S B g R q z j x 8 8 a I i Z x I H 5 V m T F P 7 i J t G 5 v w U m Q / Q s a O V + l P r G / w M 0 + M f z K d k J B O A 8 9 D J e v P G L Z F M A B a c X k r N s p M J s 3 a / + e Y 7 G h o c Y v L M S g c r O h r N M i 9 v Q i b Y H 6 s h 0 y W 2 Z d Q I i l j S v w k w a 9 Y O k M f h S O 7 5 G r Q M u t V a v H o 7 E Z Y i E y D y i e s K 9 W U S t k f D R Z S V l U O 1 Z V i p U e 2 3 t 4 X 1 / C 9 t b C g 8 a 5 W v X O l Y s R 2 D W + F m R g 6 J 1 t 5 u D d p M B L z 9 s e h Y B 5 9 3 4 c L 7 M t Y O y 7 2 Y V c / X A q u d w d t w q E F G U K T i a l 8 J 5 l o Q 7 m t o a E j S k Z L X s Z M R t X M i H u g a u t T i Z Q n y J t L S T i L Z j O 5 D Z U 9 N T o h G E N 2 X J k g b G y q V h + p 0 e W Q W a G Z m l v T g P 3 / 2 Q h L G u k F y J f o u x P F + / O g x 7 d q 9 U y Q S A I k 0 y l I l / n w 0 P i y m F h + / f D n c e T F E T w a S j z p k g N U F f 4 h g L / B 8 w j F T X 1 8 n E / 2 Q I H 2 h 0 h p S h e M e 0 2 x I x Z D A g N Z k + q u W g z x S T k w X 9 Y 9 3 q M e s y h m 5 h d Q / g Z X u 9 f 6 4 9 r B e k + P i 4 5 d x j 2 1 9 I u D a I Q H s I U n U Q 7 Y u 2 1 4 2 g B b n 6 P 6 C G h o a R N J g G I + R N D C s 0 S l r A L U O x 2 A v x Q P f D Q m 3 l O 3 y 5 P F T q q 2 r 5 Q Y 6 R N u 2 q b 4 l q I 1 D 3 G A L 8 v N E w o E U j Y O 5 5 M v b Q q e 2 h y n P n / w j j 1 / 7 d q 2 A k R f 2 U R 9 2 w A M I C f Z t c 0 a U X F 2 j L p l u s V b A M 4 1 E 7 S f Y q P N s K 8 G G C o o d 5 Y w E a Z b r O x I K S t / U 6 V N q K Z z 1 D s e l x 0 1 p Q a h Z Z 7 2 8 U Z M l F H C h f i Y q b Q z g a I D b e 8 8 e F Z E I d g 3 U v I Z D S 4 9 A w G c Q c B 9 j 7 C Y n p 8 Q V n w j 4 r q a m Z j p x 4 r j e o / q 4 o H a C s P / z / 1 y h y j 2 n 6 X C N L 6 k F p 6 f R K c 3 3 t l J w y l Q B K b S S + o l 7 a W 5 q o f H 8 d 9 W O J Z 4 x 4 G G e h V K Y D y j 1 p w k l R N K E U k 4 J r m M m 1 H y I E 5 d r 8 6 f p W e 8 8 n T m l p s G s d 6 S N D b U a X H 6 l G g 0 I A a 8 d A E k D j x + I C R U Q a t v + A y q g C n r 7 8 e b G 2 9 M O O D N A i P B 8 e N F E R D u g m t n J B G B U h Z G M 7 x 6 q p L r s 1 0 m v 3 u 5 2 u U V V f R O Y + z T A s 0 j G l m t t e U U N R 2 L v J R 4 u 5 w K d 2 B a k c 3 U p T s s H o R a s a T i q b J J t H 9 e D x 4 U 8 L d 7 5 g v Q Z y 8 f A g 0 4 F W D V w Y m K S n j U + k 5 m 3 A B o 3 K u j a 1 W u y V l J r a 1 t U i t 2 5 c 0 8 W C X j y 5 C n 9 2 7 / 9 T u Y 2 f f P 1 t 3 I M 6 l x 2 j h r t v l r s 2 r G d C n K W H 9 p j B z y T 9 T v e 7 M 0 M S f P 0 S a P e w k I B y c 0 Q P n B w P 4 U C U 3 S k U p N F v x S A g s y I T G 8 / v y N I u R m p P Q 8 h C 3 I p 2 w m U O I 2 J k O a z 4 9 v D O k 0 b W k I B L / r C d L D h o C w p I x X D C L J e f v b c W Z m 7 9 O t f / 1 K G 1 m D p / 4 q K c i Z O l Q x A / c M / / K U s H o B 4 f X Z g Y G j n a O q 2 B K Q e o i 2 5 b e P U k g H s O v Q Z r R a D r 4 e o g G 1 I g 1 2 7 F g e o S Q S 8 Z B 4 / e k K F m Q u 0 r z x E u f 5 I N P j K 0 S q 2 c d C A V g V N J 0 0 Y k 1 s p V l J 1 j j h l O 1 2 Q N v 1 Q g F G d U k F m r r J 3 o L Z B 8 g C Y i g 5 V C M C Y u s N M m p M n T 9 D I 8 L D s M 3 A 7 X T E e N o w u g D d s a 1 7 q A U Q a n z Z S Q U F + d O Z s M k B / G B o 2 G t Z q g K U / d + / Z J c u Y N j Y 2 U m 9 P b 9 L 9 a H h e m H W M i Z B b c s O i 2 r 0 p F E l M v l I y x F L k s r e F 9 f w v b S T U K r g k G N E d i + g Y x Q h v 2 F J 4 a 9 v J m c U 2 h X T a M n n C r A 6 a / p X t u / Z L g z Z B N Y 3 t s Z r u o L 3 7 9 k o 0 W c R R N 2 G I l w M m M n 7 w w X m 5 z u P H j 9 G L F + o z W G s J X k S 4 7 e M B b y V s w D u 3 7 0 r 5 I K t t A O 6 t r K x 8 V f O 2 Y A O u N G L / Z l u S A 3 2 j R I k n j k U g / q O 3 7 S m N J B S T K k Y H X L d p l U B c g 8 + f R K i w E L 3 v W f L W P 3 H y 2 C L v H w C P H F Q Z L / O p e 9 x F D p e y d 1 C h s L d W O 0 o C I z b g D I G X c O f O n c t G l Y X 0 g q M E v 2 U n / e S E G i C K c Y S Y M o E R F / A o g j i 3 b 9 / h d F f U Q 7 j C j 5 8 4 J k O u 7 K 5 + d B 2 s R s L j + / A i G e f f + Y r t y U d s i 0 L t t c 9 c n t K h m J e D E A P / k P P L y R D I E A Z 2 L c p 4 c c n x u J S w T a z D l H Y S a j W N w u P L p J F I s a g x Z 8 + + S 9 4 E / S + o y M r K C v l + q D g 9 Y 2 6 a m l U G O R o m I s u u B p 2 d n V E 7 D B I S Y b b i v Y g A 4 t t B E o D o t b X b F / V 7 D Q 4 N i X Q y f V K 4 T g T s B H H g W T z B J F r q 2 e D 3 0 L f 0 J o C q + t G H F 2 g X / y Y a / u P H S n 2 e C 6 V Q H 2 I + a V J F k y Z N l G A m q W M R X U 4 X M K H w Q N I h 8 d 9 V k M m g b d h N A Z Z W e P N j U Y D 4 S s K b 3 s S E m J h z 0 o E t Q S r V / b z 4 X Y x + X g 1 g g 9 j n P o F U G G k B 4 B r Q t 4 a 3 P R w P k A R L 3 e P P f / 4 z l k w + W a w s V U C C Q X r F k z R V 4 N o g H S 9 e u k r v v 3 9 W 9 l 1 9 t b K 6 J 8 8 a B D H / U A Z R Q C Q t m S Q J s S C l 1 H E h k y a b 1 Q 7 W d 3 J c e d q S F v S f c 9 b S X C A k K p F 5 w 0 t F 2 f J k g J 5 / 2 B m w Q + w q H E Y k Y G J b Z q Y a Q T E R c J K P Z k X l Q a N / 1 v i c 9 h 0 8 l H A y Y z x M x y l I m m h q y B e f f U l 5 B W y v 8 b 2 8 + + 4 7 e m / y w O d S J Y c Z / f A m L y U A g T t N r E H A h F N e G o Y s T B S Q R O o P I y R M p 6 4 e a W 4 6 d k N q p I T k o Y C k y H y Q P v r o i P 6 + 9 Y 2 0 s a F c n E x j e J N G g Q g / k 1 g a k 1 W n g U m X j I Y e n X G S 1 5 / J k s u a v Y o V 1 o f m M t n + I r r c n k t D W S d l e j i m O S z H X 0 g D N N y H D x 8 n V O 0 Q v + J n P / 9 E l h 1 d D Z k A E A r h j 1 M B 7 E d 0 8 C a K 2 p Q s c D 9 2 M o 1 M r 2 w x 4 F k p K a Q k j U r W d k T K i n B R 1 c / k + t y M D J a C u h 2 s 9 + S 4 0 p g e E s r v y 6 O B K b i c M W R F P W g k w O T J I h Q M C C n d H k t d Q e X N T E / S t r I c C W G 8 0 l f a R 2 U b Y H H o p Y J p A m b E R q I x g 6 k C U h D q V y L n y n K 4 f P m q 2 J G r A a S c f R j U y t J J P V e p L 0 7 I j X S S Y U f 8 P K L S S S S U l k y c h z k P Y V x f c I 5 q a 4 q p f k e a z I d a R L F 1 m u Y C S 8 d 9 S F V i e b y + G D I B W J 8 o K z u P h v m t m w w / + Y W 6 C I j z v R z Q + N e C T A C k I C R V o q V 5 l s P J k 8 d l R E i y g H f P S F o 7 m R r 7 V r Y p 5 U W H 5 4 S M y 3 b p I + Q S C a T 3 2 R O O I / H 9 Y b u 2 b i t / y e I 2 s R 6 T d H i n V X p D G 2 C t A N U R w N y g 1 1 M u + u q 5 i 3 I S 2 E t 2 g F D L 9 e l g s b d b t + 7 o r c V o Z D s O Q 4 k w B Q X O C c R P h 0 s + W U D l Q 3 9 c Z 1 e X k N G M b 7 Q D 9 i V s R g D E g 3 c v X g q G + J 7 7 J p a 3 4 Z T W w C Q S G 0 q R J E o W n W M 7 p s y f k W T 2 S 8 7 2 I v / + o n a w X t P V Z 6 0 J 3 r X r E 0 5 n O Q 3 N u K w H L p W m k K r a 9 0 P A 7 1 m g y r x w z O J m 8 c D q i e X l K o 6 3 H b / / / e f 0 i 1 / 8 g Z R v 3 r x F 2 S w N Y K / g B Y I G D Q L Y p 5 z Y c f f u X R k F z w + B f D 4 / v X P m t D 5 i A U R M 5 O n D G r i w 5 / A 7 6 G u r r N w q 5 Y H + A b 2 A 9 G K s p O o p a S R i i f + r u o q q e U b l s 6 t 6 v B 2 j 8 m m H B F T z 8 H y A n 8 v q Y h / + F E g r Q j V s z a f v W z O 5 Y t R b D D B E + q k J B c G J S 0 D + w Y 6 l Y z H g O i E B 4 D 2 E F / D F i y Z q a D h A L a 2 t t G / v 6 m J N x A O d 1 y A f O n P 7 + / r o 8 J H D o i K i I x i d y n h S 8 2 F H j M c S z 9 N I o n h P n h 2 p 2 E 1 4 I O J 0 A J E 0 o Q y x F t l Q I J N 4 + e D Z 0 6 R i + w m E + u W v z u h v X v 9 I G x s K a X w 2 J J W E N + h 6 U f 0 M Q C Z 7 v h R w 3 c r 2 G Z V G j w 5 Z k G t u Z m k S p g o M W c L S p p j z d f 7 C e R m P i L 6 w X b t 3 S a P F k x u f i 3 1 + M W r d E s 8 2 O T J B K q E A O x N k M t q E 0 i j k H + c i t Y z 0 M u c I 0 c y 2 K p e U o G t D 1 X 8 6 p L S y o T p G Z m h L T u J B m u u F Y G 5 H i F p a W t i + u U F N L 5 v o w Y O H r M L d p u 7 u b h m 9 D u k E a X G D b R + M s Q P g y j 5 6 b G 3 7 W R L F D s R C A 2 1 t 7 V I u z l I S P h E S x a 5 I K u 6 5 M E k K t C D V Y R F I U p Q s V s K + G C K J O q h T Z J 5 O n t y f s C 2 s 1 5 R G 1 p 5 K 9 U V Y y x U h v b B j / e F c f Z j q 6 + v p 9 D u n a e e u n b I u 1 f 7 9 e 2 W F v 7 K y M i E R R q 0 j C K d B K l 6 3 Z I B n c 6 9 H E Q B T 1 x / 3 W l N G s r N X n v 0 b b 2 e t S C b + P R F K X C V R A g l B V B 6 1 o y C l s G 1 L R h I p U s G r p 3 J T d u C V r + s + H V J a q X x I s u A a K k C T a r 0 R 6 / W k G s Z k 7 0 D F + D s 0 G k S s x f V u 2 b J F H A E G s K H W C m j M / 3 K x i f 7 8 f J V s V x W E 6 W C F C m S J V T z w 2 y v B H m 4 t h k x 4 1 o k S I C Q y B A K p V B 0 Z t U 6 2 h T i a W L J f k S m a R C r p / V z G u f w D a Z U W y / Z 1 j g U n v H w q r k Q 8 1 g O 5 3 K w u Y b g R F k O z A z Y K l i d N B O O m X g t g 6 d P / 8 P 5 O v a U A 1 3 7 H 8 I J I y 5 W A 5 4 p 4 h I C J c b 4 S h E A i m U A U Z R 8 Z 8 k j C c c 6 F L E I s R R x z 3 E g k R S o V Y w L q X m 3 t y u R f b 0 g 7 Q j U N T k u F K E I t J t V P C a x p W 7 S E b Y I + I J A K j c Y O S L K 1 C s I C Z 4 d 6 L h Y g Y b 5 v 8 d P 9 V z N 0 v 2 1 x y O V 4 4 P P t b G d d b P F x W e 9 c B v J 7 n I Q 0 n K L S R 5 e F J I Z A 0 W 1 r n 7 w c U R Y S a b e 6 3 n f w k A q k k 0 5 w x k v v d E j 8 t O V N B h U D W C 9 q 3 3 K X g T 4 g z B R G f 5 A B Y q w j D B n 6 j t Y C 6 D T G n C t 4 E B E b o 7 m 1 g 8 b b b 1 L v 0 y 9 p t O M e + W d b V p z G A d K X b j 8 g g 4 V X Q p R M x m 5 C s h H G S K D o P l H j F G E s U t l d 6 l o 6 h U O 0 w G V 7 n a d L S j s b C u m 9 O p A J l c A 5 K t W G n 5 J c m B 6 C / h 0 7 Y E / B d g K g 2 j m 0 e x r X j R m 8 m C u V j K N g J e D 7 o F J i p E N z U 6 t M 9 R i i K s q u P E r l e z + i P / 3 V O Z l n h b 6 o F 8 9 f L j l i o 3 / S S Q P h K v J n 5 u g 9 i a E I x K T g Z C f N I h J p q S T 1 Z Z N Q C 0 I c 1 K F O Z l u T q r A Q o 0 5 i 6 z 0 d U t q p f E D r W E B V E C f k X L 3 q w D r A x V Y r 1 j e m u / / u 3 z 8 X I m H F v 3 t 3 H 8 h Q H g C B N z F 7 d 6 3 G 9 k G l h H R C Z 2 5 2 j g o f P R 3 O J J f b Q 8 X Z I k j E X Q 8 7 q r p m G 3 V 1 d t P L l y 9 V 7 D 8 b n v Y l N 7 9 J k n Z C C E F A L E 0 w R a D Y Z P Z F C W Q S B j s z g a x R E 2 p K x / k P 0 2 d 0 h B 1 p S S g F V R G q A l V n r 8 F P r Q L C / g A Q j / z U 6 R O S Y 8 W / 9 8 6 e i X a g Q s 1 B A M y 1 x N d Y p n N 8 Q t Q 1 r 9 d H 7 9 c F Z F T 8 k c o g 5 d i i 1 a J D G S G n K y u r q K + 3 T + 8 l u v I q u Y 5 b / i N J k U h L K h t 5 F h Z M v d i I E y U T H 9 c z B t S 2 c U L o x G S i h d S D 4 K w X p K U N h V R d y n o 2 V w B U B 8 l R y e s E 4 Y i D f v c w I L N 1 8 / O t S Y x m s i G u 9 d W r d r 4 P v p E 1 A i Q d 4 k 1 g V Y 3 h 4 V H p n H W v M B k S k y n h 0 v / 2 m + + F h F B Z l w e + j w m E f w n I p E i y V A J Z O I 8 h T + y Q J J F O X P 7 4 Z + 8 u q u 9 0 S W l p Q y F J J y K / C S 0 1 I T Y 0 1 0 8 t p f y Z e d T j P C A d u Q 8 e P B C V D C 5 t 2 F P f f X e R V a + G 6 E i J t Q D u d 3 D G S 5 c u X a F z 5 9 5 N 6 r v x G a y Z 9 e 5 7 7 9 B X j c u T D + Q x Y y j j 0 2 J V j r f t x I k m R R h T Z 0 I m 5 J j / x C n C a S E c o v y C 9 B p u Z E 9 p r P I R F W b b K 1 J V 1 n p C h F l / p X F C 1 C 8 4 A W p r a 8 V 2 w j i 7 + H 6 q t c B c a I H e e + + M 2 E q p A G M J c w s S x 2 s H j C S K q n R I I q F U W T 1 / 2 z H e t p 9 v 1 Z E h m s 4 1 q V R C O U R 1 d a p D O l 2 R 1 o T K Y w 1 q Q X R w J a H M W 1 E 1 g F i 7 6 q d C y J U r U g D D e d B o q q q q C K u I Y O K e 8 f 6 t F W p 2 7 K V p D C B O E b C d l n p S 5 l n G T 2 M X U k T J Y o h j b U c l l O R 6 O 7 p P 1 Z n S L G L T 8 V M N + p f T E 2 l r Q 5 m U 4 W E 1 h C v C q h y L U E g / N b L y S s j l y 5 H p 6 h 6 P V 4 i F R b L x 4 B u f P u P r X j u p O t y l Q n u l i v d q A 1 H P p B 3 W c 7 Q T S a l 9 R h J Z Z N J k i S n r Z E g l Z U s q Y b + R T F D 5 q i p L E 9 Z x O q W 0 t a F M q t z i U h V r J x V v c + 3 z 8 Z + e U M D d 3 l w x / t H f p P J s c S J g I Q D Y V g Z w D F y 5 f F V m 7 W J / q k O S / v C T M / T P n 9 + i y a n l I 7 3 G Y 7 E z I o 5 I Q g a V F I l M s p P J V j Z e P M n 1 u b p + h E i i n u t t s Z 9 Q b y E 6 e x 6 u 8 s V 1 n E 4 p r V U + g w w f 2 y t C J v P m 4 7 I 0 B n 3 C O s D g 1 O J H D X c 6 w i Z D 9 U M H M K a k I 2 Q z B s u i Q S K y U S o S D N M z / v g X p + n m g 2 b p Y L 7 S 6 u P n o A 8 u A 5 9 b n x S V S J y i B F F J S S d O c Q Q z Z I o t I 9 d J 6 s N W 5 l w k V E y A l h A / C 2 v 0 f T p j Q x B q W 4 W H K 1 l V j F I f 9 J u P K w u V v x 6 Y 9 S R B h y l s v P f P n 5 O + K T R i j P J G x y z U Q 8 Q M n J 5 K P t p r Z 1 c 3 X b x 4 i Z q e P 6 W 8 j A X q 7 + + h U 9 u m a C q w d B V H y W O S l k x 2 c k Q l E p N A a Q J 6 e 1 H i Z 4 5 c v 9 j s E k l J I r 0 t E s m k o E Q 3 Q t y 9 T 3 5 + T l 9 V e s N x s 7 l z H b 3 H V 4 9 A Y I F a O u b I 6 X L L G r u I 9 O p k e w X B K 9 F g M e Q H k Y 1 + K j R U 8 F s 4 y Y X W D D o 6 O q i i o m J F F z h U w / / 1 2 U P 6 y z 8 6 I d s g B b y K H R 1 d M s k R c d C 7 e n r o A p P X D k M k o H X I R Y / b x i k 7 p 4 C l E O 8 H m U T K q 7 K Q y 0 g n L a 2 M D S W E M u q d I R z I Y 3 L 9 g p s 3 h N K r E 4 a C c z L l / Q 9 + e Z Y l 1 N I L 2 a U T 0 m Y 5 m 5 X + + X 1 M l g V V e e b t G H 1 b 6 o q 3 p N W P / w 5 5 N p B 6 K G d 0 B G M y 4 k r A v Z 3 c b X U g Q / J h B P v e v b v p 4 0 8 + p M G h Q Q q V v C f n 2 a G 5 J O p m 6 / 0 v y Z + h V s w H U Q y J z L N T u U q m M 1 1 J I p 1 s x y 0 y a f V O J 0 O u e e 2 E Q E K / U 2 l J s a 0 m 0 / v f h l D 5 D P b v y u W K 5 o r i S o K R q 1 Q O J F P Z 3 D D k r a v e z t E W 9 S M A q 6 a / f J 1 a R y 5 m 9 b 5 4 3 i T X H e S 3 O u 4 j E b B / q W F M k N R Q I c s K / G J P 4 b s Q h h q j 3 p 8 / e 0 Z f f P G V P I v d R z + Q 2 b G K P I p A I q V s Z X N s d 2 m A j l X O R s + L 5 o Y 0 u m y 9 1 H Q 9 i N q n i I R g l u j I / a u / / U / 6 S j c G X J / + 9 / / x T 7 q 8 I T A z E 6 K 5 w O I 5 S X h 7 K M n E J S 5 i C 4 U f s 6 8 K o R o q c l N T + 9 A 4 M T 4 P j R F R X z E 1 I y s r U z p j M R E Q L n g s f 4 M g m / a Z t g Z T U 5 N C z P s v e s k b H l W S h Q k A N R K D a T E C H e U s T 5 j a h t m W A z m Y Y E I m e f m A L N j m z 3 F 5 W 1 6 Q S r J C N D h J N D Q F g o I 8 h l h M I t l G s h E p S i i Q C T k W p g 5 S d f U W 2 l 6 r V s 7 f K H D c a u n 6 8 V 7 T P x I e P h n m O 2 P b i W 0 p Z V O 5 l E 0 l 9 p R L 7 C l j V 6 n B q j 8 O q U 5 X B y j L t 7 r H D S I B i G C E M m K k + / 0 Z I l 1 y c r I l L g X u 5 c M P L 0 h f l w E C W 2 L / v 1 5 8 Q b / 9 9 U k t l J X t h C R k E e I s 0 H d N X i l b + 4 y E U m X e o F P b l G Q a n F y g Z / 1 q w m S M y i d S y J J O h k g m x L I J E 0 a s S f z V p x t L O g E b x o a y / z t 8 o F h X p l L / l K p h J X V M v U m V O q g a 1 A + J s 3 V z K Z M J q 9 I j M G Z / / w C 1 t L S y B P K I R M W w p d 2 7 d 1 N N T b U E p g S O H z / K E q d E v y A U M I G x r 6 9 f S O i I B G l 4 Z E Q T R i U V J 1 7 d f y B k l a P k 0 M 8 G y b k Q p p P b Z u R 5 j c 1 o M u l n G D 1 3 0 T P m B B L p p C Q T V L 0 g / f W n f 2 a r s Y 3 z b 0 P Z U H b s 2 1 0 g O r q o G Y t I Z V V + b I N g W 0 H e z G j 4 a 0 s w r I q Y K n B 9 i K e H o U t Y F h S S K B 5 Q 1 7 D u L 4 i 2 f f t 2 y X H 9 I B O m 1 7 9 8 0 S x z n g 4 0 N N C r v m k J 4 2 w n U 1 j K 1 o s F + 5 R a a G 3 v K Z 2 j 4 1 U z 8 n y g 0 j 3 q 1 m T C O f I M r e d q f 7 a K T M h 1 G X Y g k 2 n 3 n t i Y F x s J G 5 Z Q f h / b E 5 i X Y 0 g l S V e 0 T t J A J O d k G h E 3 N P U W h 9 2 g y m 8 q v V Z D J m A p + w 7 X E 5 8 g t T D 6 A l P f E T l 2 Z G R U + r I + + v g C B e Z Y z R p p p g N 1 J T I F X p E H 9 8 7 3 i W f A 9 3 m l 1 R O 9 f 5 O / U z 1 D p 1 k q 5 X r 5 2 f F 5 8 5 x C 8 + a Z q T y G R P b n G 3 3 e y K H u K b v J 7 / P S m b N H 9 Z 1 s P D h u t 3 b / s L r O T 4 z b d 3 u U P c X q k t O p + 6 a i / V N I 2 p Z y W H 1 V a M j S Z y X O C / m j c 6 u B S 8 n 6 s y z 2 l Y V o S 1 5 q z g g A w 4 8 g a e w j 0 w 2 B T N k A / U 4 g S 3 t 7 J + 3 Y 2 0 C z I R f 5 3 R H K 8 m J 9 4 C 4 h l 4 q r X i Y T D I 2 d h P x i i 7 K d 1 A t E d e z W F g S o L A c v G p z D U k y T 7 H q b W + / D t k r q G M j D Z S a S I Z d R 8 0 T l C 8 7 x M 1 6 g v / 6 7 P 9 N X v D H h u N P a s 6 E J B d y 4 3 c m y G G R y W 8 4 J G 6 m i T o p 4 U s H C R F n I h P 8 q 1 6 V o O R 6 x u x 1 U k T 1 L O 0 u h T i 6 s 2 E l r B w i C G B E g V D y J k J s E L y B y r N g O N Q 9 q V l N T i 3 w O X j z g 2 r U b t H f f b p m C D y 8 e p N P l V h C J v 0 M T y Z A K h I H z g a k V J R T I N B t c o H t d U P c s Q o U j 8 1 S W F a S e U a W i G m 3 A d O L C A R E O I T h p m D 7 9 r 3 8 h 1 7 K R 8 V Y Q C j d 4 / V Y H E w Q E M s Q C k e D 9 U 3 l U Q o F c U U L p P C q x Q C R m i v x X u f 6 j / z K i B U B t l G Z M U n X u j N h D W K 0 9 F A x S V n a W u K 3 R f w Q y 4 z r Q k W t 3 K q C R P 3 v 2 X F z i Z v l S 7 D M 5 i P O / / / 0 G n T 1 z j L Y W a X L Y E v q a c O 0 q 0 K b e N 0 v 0 q M f N R O D t G C K p 3 I z V O 7 R 1 j r x O J Z W M h L o B 6 W T I F J V Q W j J x j r K S S p p U y J l M 6 B P 8 9 B 9 + I 9 e y 0 f F W E A o I B s N 0 + 1 4 n k 0 Q R K i q h o u 5 0 G 5 l 0 2 R D J I p V K I I r k 2 M a X S 4 5 t b N h h 7 Y C X z + P U j 1 p / D o 3 Z A G V 4 5 N r b O 2 T k w q G G B m p r b 6 O J 8 U n K z M q k 4 u I i G W I E l Q 5 l r F j f 0 j 1 B 7 x 3 f p U m B p L 7 H J A y u P X S o g c u K O C D V J Z F K F o H k X C E W y K T K R k I Z 6 Q Q b 6 0 G X i y U U b 4 N E m l B i I w m x l I p n J F R U 1 Z N x e i H 6 7 d / 8 C a u Z a x M q b b 3 D c e d V 7 1 t B K G C e D e o b t 9 o s U i 0 i V A J i o f F L U m U h A 3 J Q S M r 4 Z r 0 f R c B e l m O q F L / M z e C U i 8 b m H F R f Z E 0 K N J V x + 9 Y d O n B g n 4 x y Q K M H y S D B o A J e u X K N L l x 4 X 5 F B k i Y S P s 2 5 E I N T Z 0 e n x F R H e W C C 6 P m A W 5 0 X Q y S c D 4 I p U i E / u W 1 O E w n E i V B o P k J 3 O l x M n F j p Z B w Q d k K J i i e k U o N e / + r T P y e f b + V I S h s F b x W h A J D q 2 o 3 W K K n s N p U i U r x N B d L Y i a X J I 6 S x y g o o q 1 z + 2 s o G F 1 Z Y O 8 r g 8 e M n T K j 9 i m B C A i n I O T O z s 3 T t 6 g 0 6 d e o 4 Z W Z m y T 7 8 U + c p Q m G k e m 9 v n 9 h Q 0 0 G i u 5 2 G T J w 0 k U Q q m b L k E d p f P k d + l y K S k U 6 3 2 k E m s 2 9 p M k V t J i Y S v H t / w 2 T y v k V k A h x 3 3 z J C A Y H A P F 2 / 2 a J I 5 Q a h k J h E x p 4 S Y o F M h l S G U H H E E g J x L v / x R / 5 K b q D 2 6 w 1 G t i 9 C x 6 s g k R Y / d m 7 X + C t l d O T W 1 d W q L W n 8 U r D l c E a M c 8 M N s 3 2 V j z 3 6 P E W o B / c f U k P D Q d l G g l t c l R W B o k T S U s l I q a N s O 5 E 4 I 0 A c J l M H 7 C a Q S R E J e d R N H k c m o + Z h K s 1 v / + Z P J a r S 2 w b H 3 b a 3 j 1 D A 3 G y Q J V W z I l W M l A K h 4 l Q / I R X I Y x E K p F l E L M n x 7 T g u / 1 X Z l g G l O R F x p Q O a H + a P A C M k s C R n T W 2 N k A R Q j V 9 K 0 T L / l V B l W H F w z 9 7 d 5 P P 6 + L o d d O v m H Y k H K M T B u W w v 3 e n 0 S B A X R S C V 2 0 k l Z U 7 H q l j d g w T i c v O g k 4 Y n Q T 6 L T E Y 6 G Q e E y R W h Q n y b E f q L v / x j C b b 5 N o I J 1 W f V 5 F u I b 7 5 9 z E 8 B Z N K k E m K 5 F Z m 0 h D L k W i S h J O d 9 + C K U U Z J c b R s o s s X i X F 1 A l w w 0 c T j d u 3 u f j h 4 9 z A 1 d 7 V E Z G r 7 e 1 m U 0 7 F u 3 7 9 D h Q w 3 i Q Q Q p Q M Y Q N 2 x 0 8 i r i I E X o 6 i v t j M C 2 I R L n d v s J n 8 / 3 z 9 N U I E K z A U 0 k I R E f g x S S M s i k S K U 6 a y 3 p x F y m v / / H v + Q b x n W + n d i w I y W S x Y c f s F q E 3 n x W V a C u o J G I H R C C P a D e u v Y 3 s G p A c U k a m c r t y d 7 4 1 L Z 6 w y M F Q 9 Z + l d R I h D D b e F N s / 0 j Z J N 6 n t t G I 1 b 6 x s V E a H B q i 4 8 e O i R 0 o + 5 k Q I N a j h 4 / l M + o 7 5 6 m x j + U G 5 + q 3 1 W / F / j Y n f R 9 D k x G 2 0 f h 4 z P 3 q Z y D P S N l J 1 l q 4 y O f I x W z 6 + / / 2 d p M J c N x 7 y y W U w d f f 3 O c G C U k U K 6 0 W S S p I J K 3 + Q Q p F J Z a R T i K N k O N b V e u y l + 1 4 z y 6 l o r W w I P H Q P / n Z h z I d A 5 J I S S X 5 K + e h L 2 v 3 7 h 2 U l a 2 C l h u J p f I F a m x 8 R t W 1 u + l B L 0 I D a G k U J 5 2 i k o m T K S u J B G m E 3 J Y 0 A U 1 u E S 3 I + 0 I y m X G j z W t a L T Y J Z c O T x 6 + o q 3 e E C W M n F H K Q S Z E r q v Z J G c Q x u S E S 5 / I f f x S J 5 K 8 u G + D 4 i e q 5 6 D i / a C V w 4 d K l y x L A B Y t O w 0 2 O t X m L i o t k 3 S a 4 z s v L y + V 3 D I F M w l Q N k H B s b J x e z W 4 h j w c u d 0 0 k I Y 3 O O U l H L 8 g S J Z O N V D Z C Q Z o Z 6 S u 5 S D I l v X C x B w 7 u o f f O W a s x v u 1 w 3 G v v 3 y S U D W h 8 n / 3 + F j 8 Z y 0 H h c G l C i Z T C f k M k i 0 y K S L Y y K C M 5 g L I u K n p F s z M 1 i 2 0 p O B U Q Y g z j + M w K 7 k I K s A 3 / d V k R x S R M 1 w j K X K n c v C K 6 1 2 W 8 e k g 2 E m k C q W 0 b i S T H t i a R E C t W Z Q W J F K l C f E 0 e + t t / + I 2 8 b D Z h Y Z N Q S + C L z 2 + y c Y / o s 5 p Y c f 1 U Q h z Z V m X e U P u k z D m + R H J s 4 7 / K F a I F g W f o O m V l Z t B 2 z J 5 1 e + j F i 5 c S W A U A I U y O f 3 Z C w V n Q 3 d M j 0 g x j B L E f d t S d j j g y M Z H s z g c h U R y h o s Q S A o F Q F p k M i S C Z s D x 1 b m 4 e / e a v / 6 N c 1 y Z i s U m o F f B v / + 8 K L c A L K J J J q X 9 C K C E V J J b K o 0 S S x N u a Q L J f E 0 i V b Y h u O m h v W Y j y / N z A w R h A u K M J J N v Y 0 t t c R s d v b V 2 t x O K D 6 x y j y G 9 1 e P k g S K O J x L k i k t 7 W h L K I p E m k c 1 E B o y S y k Y m J h B y S 8 u / + 8 b d y e Z t I D M f 9 j k 1 C r Y S u z n 6 6 e 7 e J n x a I p M k l 5 V h C I e c / u i x s Y q q Y n G F y A M f j c H h r U N b p B Q x 5 p C x k k o L s 5 0 z 2 z c 7 M y N A k 9 D W h n 0 k R i Z M Q B 2 W d g z C G U L a y k U g W s b C t 1 D u T I 8 I R + r b q d 9 T S x x s k d t 4 P C S b U g K 6 2 T a y E L z + / R l M Y x 8 P E U Z L K I p Y i l S Y W b C x S Z c U n k I f 3 x Z A I 2 7 q o 4 W E y H W J S R Y m E g v o P B i l y S B E 7 0 U + 0 Q P e 6 M T F Q H V P n W G R S n b q G V I o 4 l o R S q p 2 d W J i K o S Q T w n u F 5 f p K S 4 v p T / 7 z r 3 E F m 0 g C m 4 R a B f 7 5 / 3 7 N j Y 4 L U X u K k 5 1 U 4 r R A g s G u i G N I h Y 0 o j 2 R f L H a V z F O O n 7 8 c / O B t k G E y g G A o b L v 4 I j Q R c N C r Y Z f Y d x a J T L L I F O v R w z Y I p n N N L i W d F J k g k W A 3 g W i 4 V n G F f 7 q x J w O u P Y j + P 8 N b W W p b D 3 9 D A A A A A E l F T k S u Q m C C < / I m a g e > < / F r a m e > < L a y e r s C o n t e n t > & l t ; ? x m l   v e r s i o n = " 1 . 0 "   e n c o d i n g = " u t f - 1 6 " ? & g t ; & l t ; S e r i a l i z e d L a y e r M a n a g e r   x m l n s : x s i = " h t t p : / / w w w . w 3 . o r g / 2 0 0 1 / X M L S c h e m a - i n s t a n c e "   x m l n s : x s d = " h t t p : / / w w w . w 3 . o r g / 2 0 0 1 / X M L S c h e m a "   P l a y F r o m I s N u l l = " t r u e "   P l a y F r o m T i c k s = " 0 "   P l a y T o I s N u l l = " t r u e "   P l a y T o T i c k s = " 0 "   D a t a S c a l e = " N a N "   D i m n S c a l e = " N a N "   x m l n s = " h t t p : / / m i c r o s o f t . d a t a . v i s u a l i z a t i o n . g e o 3 d / 1 . 0 " & g t ; & l t ; L a y e r D e f i n i t i o n s & g t ; & l t ; L a y e r D e f i n i t i o n   N a m e = " L a y e r   1 "   G u i d = " 5 2 8 3 4 5 4 3 - d 3 b e - 4 f 3 2 - a 4 a c - 2 e 4 a 6 d e 9 d c 7 3 "   R e v = " 1 "   R e v G u i d = " 7 4 3 6 0 4 e a - e 6 3 e - 4 5 a 3 - 8 9 9 8 - 5 3 f 2 2 c 7 c 6 2 4 e "   V i s i b l e = " t r u e "   I n s t O n l y = " t r u e " & g t ; & l t ; G e o V i s   V i s i b l e = " t r u e "   L a y e r C o l o r S e t = " f a l s e "   R e g i o n S h a d i n g M o d e S e t = " f a l s e "   R e g i o n S h a d i n g M o d e = " G l o b a l "   T T T e m p l a t e = " B a s i c "   V i s u a l T y p e = " P o i n t M a r k e r C h a r t "   N u l l s = " f a l s e "   Z e r o s = " t r u e "   N e g a t i v e s = " t r u e "   H e a t M a p B l e n d M o d e = " A d d "   V i s u a l S h a p e = " I n v e r t e d P y r a m i d "   L a y e r S h a p e S e t = " f a l s e "   L a y e r S h a p e = " I n v e r t e d P y r a m i d "   H i d d e n M e a s u r e = " f a l s e " & g t ; & l t ; L o c k e d V i e w S c a l e s & g t ; & l t ; L o c k e d V i e w S c a l e & g t ; N a N & l t ; / L o c k e d V i e w S c a l e & g t ; & l t ; L o c k e d V i e w S c a l e & g t ; N a N & l t ; / L o c k e d V i e w S c a l e & g t ; & l t ; L o c k e d V i e w S c a l e & g t ; N a N & l t ; / L o c k e d V i e w S c a l e & g t ; & l t ; L o c k e d V i e w S c a l e & g t ; N a N & l t ; / L o c k e d V i e w S c a l e & g t ; & l t ; / L o c k e d V i e w S c a l e s & g t ; & l t ; L a y e r C o l o r & g t ; & l t ; R & g t ; 0 & l t ; / R & g t ; & l t ; G & g t ; 0 & l t ; / G & g t ; & l t ; B & g t ; 0 & l t ; / B & g t ; & l t ; A & g t ; 0 & l t ; / A & g t ; & l t ; / L a y e r C o l o r & g t ; & l t ; C o l o r I n d i c e s   / & g t ; & l t ; G e o F i e l d W e l l D e f i n i t i o n   T i m e C h u n k = " N o n e "   A c c u m u l a t e = " f a l s e "   D e c a y = " N o n e "   D e c a y T i m e I s N u l l = " t r u e "   D e c a y T i m e T i c k s = " 0 "   V M T i m e A c c u m u l a t e = " f a l s e "   V M T i m e P e r s i s t = " f a l s e "   U s e r N o t M a p B y = " t r u e "   S e l T i m e S t g = " N o n e "   C h o o s i n g G e o F i e l d s = " f a l s e " & g t ; & l t ; M e a s u r e s   / & g t ; & l t ; M e a s u r e A F s   / & g t ; & l t ; C o l o r A F & g t ; N o n e & l t ; / C o l o r A F & g t ; & l t ; C h o s e n F i e l d s   / & g t ; & l t ; C h u n k B y & g t ; N o n e & l t ; / C h u n k B y & g t ; & l t ; C h o s e n G e o M a p p i n g s   / & g t ; & l t ; F i l t e r & g t ; & l t ; F C s   / & g t ; & l t ; / F i l t e r & g t ; & l t ; / G e o F i e l d W e l l D e f i n i t i o n & g t ; & l t ; P r o p e r t i e s   / & g t ; & l t ; C h a r t V i s u a l i z a t i o n s   / & g t ; & l t ; O p a c i t y F a c t o r s & g t ; & l t ; O p a c i t y F a c t o r & g t ; 1 & l t ; / O p a c i t y F a c t o r & g t ; & l t ; O p a c i t y F a c t o r & g t ; 1 & l t ; / O p a c i t y F a c t o r & g t ; & l t ; O p a c i t y F a c t o r & g t ; 1 & l t ; / O p a c i t y F a c t o r & g t ; & l t ; O p a c i t y F a c t o r & g t ; 1 & l t ; / O p a c i t y F a c t o r & g t ; & l t ; / O p a c i t y F a c t o r s & g t ; & l t ; D a t a S c a l e s & g t ; & l t ; D a t a S c a l e & g t ; 1 & l t ; / D a t a S c a l e & g t ; & l t ; D a t a S c a l e & g t ; 1 & l t ; / D a t a S c a l e & g t ; & l t ; D a t a S c a l e & g t ; 1 & l t ; / D a t a S c a l e & g t ; & l t ; D a t a S c a l e & g t ; 0 & l t ; / D a t a S c a l e & g t ; & l t ; / D a t a S c a l e s & g t ; & l t ; D i m n S c a l e s & g t ; & l t ; D i m n S c a l e & g t ; 1 & l t ; / D i m n S c a l e & g t ; & l t ; D i m n S c a l e & g t ; 1 & l t ; / D i m n S c a l e & g t ; & l t ; D i m n S c a l e & g t ; 1 & l t ; / D i m n S c a l e & g t ; & l t ; D i m n S c a l e & g t ; 1 & l t ; / D i m n S c a l e & g t ; & l t ; / D i m n S c a l e s & g t ; & l t ; / G e o V i s & g t ; & l t ; / L a y e r D e f i n i t i o n & g t ; & l t ; / L a y e r D e f i n i t i o n s & g t ; & l t ; D e c o r a t o r s   / & g t ; & l t ; / S e r i a l i z e d L a y e r M a n a g e r & g t ; < / L a y e r s C o n t e n t > < / S c e n e > < / S c e n e s > < / T o u r > 
</file>

<file path=customXml/item4.xml><?xml version="1.0" encoding="utf-8"?>
<ct:contentTypeSchema xmlns:ct="http://schemas.microsoft.com/office/2006/metadata/contentType" xmlns:ma="http://schemas.microsoft.com/office/2006/metadata/properties/metaAttributes" ct:_="" ma:_="" ma:contentTypeName="Documento" ma:contentTypeID="0x0101002648611ACE18F34C8ECC02557BB12D89" ma:contentTypeVersion="13" ma:contentTypeDescription="Creare un nuovo documento." ma:contentTypeScope="" ma:versionID="8b65704b3d163a27f9405fd4b2b7914c">
  <xsd:schema xmlns:xsd="http://www.w3.org/2001/XMLSchema" xmlns:xs="http://www.w3.org/2001/XMLSchema" xmlns:p="http://schemas.microsoft.com/office/2006/metadata/properties" xmlns:ns3="22b9fd3a-36cd-4bd4-af51-58391b73fb95" xmlns:ns4="68e64b7d-3933-42c4-a834-55c5ce6af3a1" targetNamespace="http://schemas.microsoft.com/office/2006/metadata/properties" ma:root="true" ma:fieldsID="60901579a87a1c98c86519c12ab6fa7e" ns3:_="" ns4:_="">
    <xsd:import namespace="22b9fd3a-36cd-4bd4-af51-58391b73fb95"/>
    <xsd:import namespace="68e64b7d-3933-42c4-a834-55c5ce6af3a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b9fd3a-36cd-4bd4-af51-58391b73fb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8e64b7d-3933-42c4-a834-55c5ce6af3a1"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SharingHintHash" ma:index="18" nillable="true" ma:displayName="Hash suggerimento condivision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1 6 " ? > < V i s u a l i z a t i o n   x m l n s : x s i = " h t t p : / / w w w . w 3 . o r g / 2 0 0 1 / X M L S c h e m a - i n s t a n c e "   x m l n s : x s d = " h t t p : / / w w w . w 3 . o r g / 2 0 0 1 / X M L S c h e m a "   x m l n s = " h t t p : / / m i c r o s o f t . d a t a . v i s u a l i z a t i o n . C l i e n t . E x c e l / 1 . 0 " > < T o u r s > < T o u r   N a m e = " T o u r   1 "   I d = " { 8 3 8 3 4 3 A 7 - 4 A 2 5 - 4 2 5 7 - A B 4 C - 9 D 6 A 5 8 8 5 9 9 D 1 } "   T o u r I d = " a 2 a 2 5 c f c - 0 2 6 f - 4 3 2 6 - 8 3 6 5 - b 2 f 7 5 c 1 0 0 d a b "   X m l V e r = " 5 "   M i n X m l V e r = " 3 " > < D e s c r i p t i o n > S o m e   d e s c r i p t i o n   f o r   t h e   t o u r   g o e s   h e r e < / D e s c r i p t i o n > < I m a g e > i V B O R w 0 K G g o A A A A N S U h E U g A A A N Q A A A B 1 C A Y A A A A 2 n s 9 T A A A A A X N S R 0 I A r s 4 c 6 Q A A A A R n Q U 1 B A A C x j w v 8 Y Q U A A A A J c E h Z c w A A A m I A A A J i A W y J d J c A A D 0 n S U R B V H h e 7 X 1 n d 1 v J d u V B B n M O o k i R I q k c q B x a 3 V J L n Z 5 f 8 P M s j z 3 2 + M 1 z W G 5 7 v D x r P s w v 8 B + Z z z N r z S x 7 b L / X O S j n L F G B Q c x J z J k A C H D O P l W F e w G C J E C x u w m K W y p W 3 Q D g 3 l u 1 7 w l V d c r x u 6 t 3 F m g T q 4 L D 5 a H M 4 g Y K B B Y o H A 5 T J B K R t L C g H q k 9 d 8 R t f 7 A z Q A 7 s 1 J i Z n q b M r C y 9 R f S 0 z 0 0 D k y 4 + l 6 g w M 0 K H K 0 P U M e K i r j E X B e Y X 6 J 2 q C b r R n U 9 n a m b J 7 3 X K Z 4 J h B y 3 M z 9 J C Z I H c H j d / v y N 6 X R k Z m b I N m P 1 u t 5 u c T q e k + f k Q Z W b n 0 j d 3 n l I g G J L z N p E 6 N g m 1 S m S U H K N g M B J t s C C J S Y D J M 9 w L N I P 2 q b e B w q w w H a m c l / L V V 1 7 K p d c 0 5 S i l o 1 U h 8 v H 5 l 1 u 8 Q g 6 D X a U h K s 5 i U n j V 9 + L 3 Z m d m K C s 7 O 0 q S i f E x O T Y 3 7 6 A s n 5 O C g S D l F + T T 3 F y A z w 9 T d k 4 u d X d 1 U N W 2 G n o 9 0 E 9 l 5 V v k c / j 8 3 N w s Z W Z m R c n l 9 n r p y 1 t P + N 4 i c s 4 m k s c m o V I A G p + / + G g M k R J J p I M V Q S r I i N C N d h 9 L E z k g + + P h 9 y x Q g M n G A o U + 3 B X Q e 4 m + e e n T J a K 9 5 f N U k R e m 8 V k n 5 f F 3 A n f v 3 K V j x 4 / R y P A Q S 6 M I F Z W U y n 5 D L q C v t 5 t J U 0 E 9 X Z 1 U U V l F L p d L H y G R R t h 2 O J D U d Y N I Q q 5 Z J h d L S o / H I 0 T 8 7 k E z h f k 3 N p E c m F B 3 N w m V B L L K j v K b f H k i A S h / u H O O p Z K D r r d p Y s Q d B 0 C g z l G o b 0 x S J l Z p d o S u t L I I i s P x 8 k H K y 8 v V W 0 R N T c 2 0 b V s V e V m K T E 5 O C j m g u u X l 5 Y u U 8 v p 8 f M x H E a h 0 T I r 5 U I g 8 f C 6 A 4 1 l Z L N W Y P O H 5 e W J 5 y s R y 0 8 T Y K B U W l 0 Q J i R w E m 5 6 c o L y C Q v L 4 M u i z a w / 4 7 E 2 s B M f v r 2 0 S a j n k V x 6 l q S m i E D f M p Y i E P N s b p k r / I P U E S q m 2 a J 5 K m C D f N P m F T O Y 8 O 0 C o b r a H u p h U B 7 e G 6 G q L g 7 Y W u G j f l p D Y W 8 P T X D m B E V H Z p v g C c n N z a X x s j H b t 3 q W + Q K O j g 9 W 4 q i r q Z 4 l U U b m N p p g E U O 9 6 e 7 q o Y m u V n B O Y m 5 M X A V T E G V Y V X w y 4 6 X C N R 4 g z P T X J + 3 P k G n F e R q a y t Y K B A P n 8 f i E e c u w L k 4 e + v / 9 U v n M T i b F J q G X g L Y R 6 N x 9 j J w H 2 H C / 1 D 3 b M S f n b 5 g y x g d 7 d P i f H 7 a o b c K I 6 S C 8 e 3 6 E T J 4 7 p P R Z e v W q j 2 t r t e m s x b t 2 6 Q y d P H t d b F g L c 8 C c m J q i k p E T v Y Z W O y T 8 7 M 0 3 Z u X l C h H k m B a S Y H R 2 j T q r M 5 / u I h P g 7 g i y 5 l E M E p H K w O j j 0 e o A m J m f 4 e 4 s p J y d b j k N N x P d 8 c + 8 5 z W / a V w m h 3 E O b i E F O e Q M 5 c w + z d A h K Y z R k i k / A B S E T C Z k a K g J R M g E V e a r R 7 S q b F 4 n U 2 / 4 i I Z m A y Y l J X U q M U D B I s 2 z f j I 6 O 0 v P n L + j J k 0 b q 6 e l l e + o + F R Q U y D n P n 7 2 Q H K q e P z N L r t 1 I 1 k E m i E B f d 3 n O A k X m g 6 L y G T J B J Y Q 0 C g X m K M A v k j 1 7 d l F x c R H 5 e R + c I G M s I f H 7 Z / b W 0 A f H D 8 h n N h E L l l D 3 1 B P e h M B X d I T f 2 L F S y Z D H 5 P H A / q K s C B 1 g d c 3 t X G D b y E 3 N r 1 1 0 s m q C H C w B o G p d u 3 a D z p w 5 r T + h A P W r s 6 O T 6 u r r R d J d u 3 a d d u y o p 4 q K C n 2 G h Y c P H 9 O h Q w f 1 1 t L A d Q 8 O D p L H 4 6 W i o k K 9 N x Y t r x 1 U X 6 r u p b X 1 F d X V 1 Q r x 2 t s 7 a O f O H T Q 9 P S 0 k a 2 l u p f o d d S L l A O R I s K / m W J I V F B b S Z z e e y L F N K D h + f 3 2 T U I D b m 0 W O z F 2 s 4 o W k U R o i L U e m + H 1 o d t i z o y R E 1 Q V h 2 Q c 8 e v S Y 3 + 7 j d P b s u 9 H G C U A 1 G x u f E C k A 8 q K h Q q p 0 M M n 6 e v u 4 w R b w t U T E d n q P P 7 s c W o d c V F d s / a Y B H B f P n j 1 j d f G k 3 k P i W v c 6 w x T i 3 + r u 6 h Z C G Y y O D F N h U b G U c U 0 R 3 C P n c G x A H Y T T A / c N 1 Q 8 e Q Z D q 9 o t 2 G m H 1 c B P c B j 7 b J B T l V h z h h h e J q n d G M g H J E C n H t 0 D z r N 3 V F 8 9 T W c 7 i R g 3 g M 3 A u 5 O T k 6 D 3 c s O c C N D g 0 S F v K y 6 W B d n f 3 U F l Z K V / L F P X 3 9 1 N 1 9 T a R H N h f X F x M u b k 5 N D 4 + T i 9 f N l N 5 e R m n c s r P z 9 P f t j T a 2 9 q p Z n u N e P 7 a R 3 1 U y 9 c 5 P D x E X V 0 9 L P U a 9 F m K 4 F A X g 8 G A e A r t 5 D e E x 8 s G 1 4 p j o V B Q V N H c v H z y + r P p y 1 s P 9 d l v L 9 5 6 Q m W U H G H V K z k V L 3 7 b I F 4 i x Q O k 6 O n t p d K S E r p 6 9 T r t 2 7 e X G y R R X l 6 e 5 Q w I B O S 8 b F Y P 7 b j 4 / S V 6 / / w 5 v W X h 5 s 3 b 4 q Q A 2 a q q K v X e x b j N N t a e A 0 c p x 2 / d U x 8 8 g J X b W P K N U j i y w P k 4 b Y 9 z i E x O j F N O r i I r y I P P G Y L Z c y Q Q E d 7 B / v 7 X 1 N g 3 J s f e V j C h 7 r + 1 h P I V w f G w m E y J i J N o n x 3 o e 0 q E v r 6 + q G 0 C 9 W t k Z I y O H D k k x 2 B D w V 4 p K C h k N a + d J s Y n a d / + v e K 1 a 2 1 t Y 1 u q X F z i i Y D v G h 4 e l g 7 Y p u l a l h 7 K j q s p D F O m d 4 G + a 1 I e R r T 9 C z s D F G H p C 6 k E 6 Y O + q I L C I j k + w c T J Z e L c u / + U x r K P y r 6 i z A g d q m R 1 d G y E J a C y w 6 D e + T M y p c 8 q T z t B D K G Q I P 3 g 0 I D j 5 P q L b j n + N s L x 2 Y 2 3 k 1 C e / M P i E o e a Z y f S S m T K 8 U V o M r D Y O b o U o Y A n T x v p w P 5 9 e k s B D R 7 S I d 8 / T z V Z r 8 U 5 g E Y J B u R k Z 9 H + A / v Z n h l l 2 8 U T o y b a 0 d P T Q 2 2 d A z R X q J w d I M + J 6 p C 6 x j k H D b x + L S q k q K R 8 n / G u 8 4 H + P h m C B F L f 6 I 5 1 Y N h H b m C k x M 3 n o 3 R i T z F 5 9 Y C L 6 e k p c j q c T L I M c a d f e z l H O Z l e O l T t F n v r m / s v 1 Y l v G R y f v 4 W E c j O Z A g H l f F j O X k p E r k S A 6 9 y p t K B F g J 0 0 x m / 1 7 m A V 5 W d E q L 5 E q Y a / u z 9 H / i y l U l W x V O l 9 + i 2 d 1 6 r d n d t 3 6 e i x I 1 E n x d M n T 6 m B b R 1 I A q i F L S 2 t l M e 2 U 3 l Z O X 3 X 7 J f P r I Q P m C D o 9 M 3 J y a V R l l Q F 2 v E w O N B P l L 2 V H n U r s m V 6 F u R 6 q v I t F R Y e P b j O P 3 u y Q B / t D r N 9 5 d F H M I y J i e p y k s O J Y U z K A z g 5 P U P F h Q X 0 9 T 3 l x n + b 4 P r N 3 / 7 9 P + n y W w F X H i R T r C c P S I Z M G d z Y M r g t e f g t D W k Q j j j I H x q k 6 t L Y D t y m Q T c 3 s g X y c x u 9 1 Z l J P d N 5 F J h 3 0 t i s k 2 q 1 J 2 7 n F j f 5 + L u G p p w 0 w f s X c u q o 4 + k l 2 l J e J o b + f C R M M 9 w w I Z 3 a 2 t q p k u 0 k k B + N t r S U p Q 7 v / x Y j M Z J E 2 7 C b W n q m a G G y g 5 w s U d D w 5 X e Y E C U F m X J d r / i c E N / T 8 L R 1 n Q C c K S B U N t / Q n S 4 / h Y e f i + S E a o r r m A v M R a V f Y G 5 W 7 E I 8 v 7 q K E m r r H 5 b 9 b w t Y Q j 1 I 7 j W 8 A e A p O M R v W 4 t M a K D A S m R y M X n O s x R K B E i M l y + b Z G j Q 1 O Q U P e 2 J U G H 1 E X 3 U w v k d Q f q + 2 U v 8 M u d y 4 o G w + N 3 J o X Y q d 3 Z I A 6 2 v r 6 O W 5 l d U V 7 + d i o q U z W O A 3 / 2 + J V O I k S r y 2 U Y 6 V h W i 1 6 w S Q o J 2 d X V L H 1 n T g J s 6 x 6 x B t J C 6 7 9 f P C o m b m 1 v E D o S H c d e u H X I c + 4 N M S l y r / T p m Z q Z F E h q S f f + o V f K 3 A Y 7 P b 7 4 d h P I y m W Z n V 6 f m b X e / p P B 8 k H w + L 1 V X V + u 9 i 3 G 3 0 y N S K B G 8 3 L b Y Z I v i G N s 6 + X 5 r + I 6 d W G 5 H i B p K h o W k w F d f f U M F B f k s T c K U m Z l J w V C Q T p 0 8 Q a 3 D L u o e d V F I T / X Y k h u W 0 e m Q n g b f 8 v f G 3 9 E 8 f z 5 n / J o 4 P O B + h 0 r 3 + v U g 7 5 8 X d / 1 8 x c f 6 T K J a f x t t 3 7 Z F n C u Q P E g g k l H v k B u V E L h 7 9 x 4 1 N B y k 2 X A G 3 / C I u P v x T C 8 9 b Z P j G x 1 v B a H 8 R Y f Y i F 6 e T I m I Z A C H w 6 1 b c F O f 0 H t i 8 S 3 b M c t 8 X D 7 f P O S R C Y L x s N t f m M Y B m 6 i h I i i D a 9 E Z j H 6 m 5 / 0 e K m O y P O n 3 E r d 5 U T 3 R O Y v f R N 9 X V f 6 8 S L 7 V A M O Y 9 u z Z T c + e P Z c c A E m + b U I H r m x G H R R 4 d n Z J B F X Q u P k f d T v J M 9 E o 4 x H x n U e P Y s R J Q F 4 A + D 5 8 9 s q z D j l 3 I 8 P x x c 2 H y z S F 9 E d m a Q N X f F h U J J A m k Z q 3 E p l G R k a o s D D x M B 4 Z U a 5 R m h O h Q b a J 4 r 8 O 3 2 E / L x 6 J j u / J e k V b t 6 o h S H c 7 v T Q 2 Z z V k n L + W g F T C M 8 i A n c Q 2 E Q h w t S 2 T J Z 8 6 j u k l 7 9 Y G 1 U Y c 8 F z h 5 T P S 6 s m T p z Q 2 O i b u / + b m V j p 9 + q Q c w z P B s 7 / + o k t / c m N i l e + 1 9 I D b l 8 2 S S Y 2 A Q I M x x E m W T O 9 s V 2 / m q a l p y e M x H b T p V o z X k 4 v J B C x H J q B 5 0 C 2 j 1 O 1 4 P m 0 N B 4 K j w P 5 L + L 5 l L l t U v K W O g / B 2 o A s A U q a s r I x u 3 r o j 9 i D c 8 X D p G 8 y F l M R K B P S D g T A Y r I t n m Z + f T y d O H p c + N g x V A r D f K W J 4 g U r y M m X f R o X j i 1 s b V 0 I 5 s h v E a L Z 7 9 O I J F L 9 t B 6 Z l t L e x D Z F g W g U E 3 X c t y x N l K Z S z J M P s h 5 L s M E 2 w 5 O m d c I m 6 Z 4 f P t U B s s t H x q g A 9 7 v X S n r I Q 3 e 7 w i q o H H K w I U S l / P l U g T k W i 4 V F 2 9 Q 0 Y H B q i R 8 N b 9 Z b C 6 e 1 B C k 6 P U F t b B 1 V W V o i 3 0 Q 5 I K 0 g 7 D M p F 5 / H Y + L h I r z y 2 B S G 9 1 D n z d K u l V 8 o b E R t W Q r n z G q S C j c 2 U K p n w Q s V s 2 M o a S 1 I Y X G v 3 p U S m H S U 2 b w S j n y U Z C I G p 7 d 3 j i 8 k E B M I O m p h V k g n T 5 C + 3 + q J k A h 7 3 e m g 2 T k I m g 6 I s R S b M g Y I U w S i O 1 t Z W G h o a l u d l U F J c L H 1 X C B B j 8 P 3 z I P X 2 9 s l I D 5 B p l i V Q Z 2 e n P q q k F a a h P H j w S D y I u D q / 1 0 t X r 1 6 L P m t I q m O 1 Z V L e i H B 8 e e v R 0 q 0 q T Z F R c p A m J 9 U o C D u h 7 F i O T H Y U s x S o 4 o b f 2 O + J C Z w C g H T v 1 g b I 4 1 Q T D Q F 8 r S k / f d p I + / U I i a d 9 H i b S Y q d E M n D z a w + D b 5 e C s a m g C o p b v t 7 a x q W A 0 P n u U c p h C W S e B S T H y M i o T K 9 H G Z i e n p F O W x A j H q / 5 2 i F R z b 3 Z M T I 6 q m J b F B V R B x O 0 u k Z 5 Q i G V M B Q J v 4 d 6 g N c S Z d Q L N I d H X a N y 3 k b C h p R Q s J v i O 2 7 t S L R v K V Q y m R 7 0 x E Y h y v a q u B H w 0 H l Z N b M 3 M n s Z K o 8 B D P v V Y j k y A S C O s d O g S t q 3 8 a v O h S D l a m c D 7 B 1 D o M L C g m g Z y M r K F N W v v 1 9 P R r S h l N X E R G Q C C g s K K C M j Q 8 Y W 5 u T G D p P C / t n Z O e k A x n H Y a B g X a F T A j Q a n v M I 2 U H L m H o y R T I C d Q K m Q C V + J 8 F 0 g D 9 L h o h 4 6 t 3 2 S T t V Y H b P L o e G g N a u 1 e 0 x 1 c r 4 p c n 0 r s I t x r C p I 7 9 d O 6 S 2 i F 0 O Z 8 j w S I f 5 5 o D / J 7 h p P F n C P Q 7 K Z 2 c O A + W 6 / X 8 2 h g k T c t W s n d X b 3 k s v t p g N b 8 x f V X 7 q n D S W h M l n V C 4 W W H j l u L 6 8 E q F k f x L m n 8 X k 0 m n j V z w 4 M 8 Q G u N w 6 S J 0 N 1 z E J a r C R l k s V E g o G 5 8 b j b 5 a W L r y w H A z y I 3 d 2 x I 8 B x L 6 / a 2 k R S B N k 2 u / x K e f G U u p f 8 c 7 I D U / L j J Q 9 + B 1 N M 8 J L b v r 1 G 9 u 3 c U c f q s p K W + 7 e s P J 8 r n e D 4 6 v b j 1 T 2 9 d Y h I 5 n 7 R z U E o 8 0 Z O l V B o D 1 D l E l H G T B d P B l A 5 7 e r U 1 y 9 j J + z 9 m G g o n 6 Y 8 P w a 1 q n B i c B p g O v 1 S 1 4 P Y E W 6 3 i 7 K z E 4 9 y X w p m b F 8 i U s E + Q 7 A X x K S A F I N r H q M o 4 P V r 7 J v Q Z 6 Y / N o z K 5 8 o 7 I G 9 B V J 4 h T q p k w p g 9 u M r x l f H A d 8 N g T + Z 7 A E Q x s m N r + E F U d X y f f 2 M l Q O t 6 v 1 6 d j + k X b 4 J s D 0 a o t 0 g Z 4 / Y O H 2 6 Q 4 U L x e D W s X g D o S 4 I X 8 C E T L x X A 6 X D / / g O 9 Z Q E E m 5 1 V U + R B p u b m Z p m D B Q m F Y 7 t L s x b V Z 7 q m D a P y I Z r r m 6 p 6 i Q b A Y q 7 Q 5 5 9 9 J d 6 q L V u 2 J C 1 l E G z l 4 U P V I F + + a K K 9 e / d K G X D z V 4 A o G E K U C H C n X 2 A y Q e 0 E T l Y H h O i H t y Y e r b A S I A 3 M 7 2 N 2 L 6 Z / w E W O E S C Y U m 9 Q W 2 T 1 T 8 F j d 4 i J d + n S F b 0 n O W A c X 2 d H 7 G i I g Y G B G G k t U o w i d P H i J S Y V P 4 z k H m l a w P V f / u 4 f 0 n 7 6 h j P n g K g O x r O 3 G o h r W Y c 6 t u P S x c v 0 y c 8 + I p / P l 7 K x / u L F S 5 m c B 3 I l w r a C M G X 7 I j Q 0 r R Y F M J g O O m l 7 U W z f F X i M m b j b C 0 M S j A X B N L O 9 E R q Y s h o q S I r 9 k w H Y R U r 5 c L 6 + Q U c a Q C Y 1 h R 0 k 3 7 t 3 j 9 w P P H A S I o x f F v D A x U + / B z I y / P K i w v n J A M / I 6 / P K S H P z 8 o H X c O v W r d F t 9 d u Z l J + X Q 4 + f N M q U l X y f k 0 Z m Y + 8 5 H e H 4 6 s 6 T 1 b X A d Q K X J 4 M C z h p R y R K 5 y p M l G B q j H Q M D r 2 l y c o L q 6 x O T I R l 8 + c V X d O r 0 S Y k d k Q z u d P l o f N a x 6 F r s w P 0 k K y U N I I 3 s f U t Q y 4 4 c O a y 3 L M C p U F E R K 4 U h x b p 7 + q m 8 h u 3 T s I M q b R M P l w J s K U g k G R n P N i 1 s T 5 A Y M N + N G I C I Q x G Y C 4 o L J D Q f o v a R O Q o t p H Z v 6 w 1 w t v B N p m 9 a 8 N c J k Y w T Y j U 4 x S o V A N X k 0 q X L d O P G L Y m Y + i Z k A m B T J E s m A M O M l i N T K r j Z Y U k U S E o A Z I Q K m 4 h M g B m M C x L h e e K 5 v m B 1 d V v d X r r X v i A h n O 9 3 L Y 6 / H g / c N 9 R K O C B g q + 2 O C x 8 N Z G Z l S / B M T F R s b m o W 0 i + M 9 S e s 4 3 R K a W 1 D w S 0 d D C b n J s f N b m H b B M i 2 G f l w j W P 7 M t s K C G d 8 7 t z Z 6 A j p N 0 V R c e I R 6 m 8 C N P Z k g J c E 1 p I C s r d i Y u W c D P I 1 U Z a W A i Q I R t Z D y s D b h / l f D 2 5 e Z A 1 A E X 1 k h h 9 k E o A t h T l W O d k 5 M c 8 S d d L b 2 y t k R V Q l B H 3 Z v X c 3 t T I B K y u 3 k i u 8 O j t x v S C t C R X x b E v a b s I p f e O q g U 2 x j X G 2 d p b O 1 0 1 L Y B R 8 H i O k 1 4 J E d n R 2 r n 3 0 n 1 Q k c d N r p e a 1 D r n F V o L b O l n A 0 w f H x N a t W + j s u f f o Y 8 u n I p M h k 3 j k I p k Q 5 D M e G I 0 B O w r k L S g q k W F L + / f v p 3 F W A y N j i 0 d p p B O 4 B e G N k 5 4 p G L S k k k k G 9 n I 8 T l Y H y e t 2 i J 6 P 1 N T U J C r H W g O N c q 2 x 3 H 3 F A 9 L X D E E y + W q A Z w Q C H K y w n A a Y z n G x O V b 9 6 5 t Y / E L a w 9 I H g 3 D t 8 P s z d I n B V Y m g M d A g i o q K q a w c A 2 d j 6 z m d U t r a U L 7 C f U l L J z v g g k a Y L X w W b 0 r l 4 R q l p p f N C f t m 3 g R 7 u T H 9 1 L D b Z B h B 8 S b A e D 5 7 e L H 5 i E O k 1 f U 2 r + S P u v i l p o 8 Z X L 9 + U 5 w T d s B 1 j 1 m 9 A F e l h H 7 u b G + j 8 b E R C U G W O a s I l o 4 p b V U + t P 1 k b C c 7 E D 0 V n a T 4 3 C S T C e d h m v b R o 4 f p C K f r 1 2 4 I 0 d Y C d + 7 c X d S Q 1 g K p e v j s Q L y L t V q F Z q t e W Q S Y 0 d N I c u a 7 J Y Z F 2 7 C L 2 L S V 3 8 O A W 0 w 7 a W a 1 E 6 r n N K v b A N R B e A B x P 1 P T U 1 S 9 v Z Y K C o v F U Y H 9 6 Y q 0 J J T D 6 W Y j O T Y + R D I 4 s U 2 9 X T E J L j 8 v T z o Y o Z Z B n U F Q f g S X v H j x c k p 2 y l I w 0 z b W G o g Y m y r s U u r 7 V U 6 K t A N S y u t c 3 O j r y 9 0 U D M w K c S 6 3 + C R o z W T + u 3 S 1 1 U s d T D I Q 7 U a 7 k p L X r 9 + Q T m X Y T 7 K q o g O j J t R Y w m w m I V e C n J d u S E s b y p m 9 K 0 Y 6 J Y P 3 a g P y a W B 0 d H H 8 b R j E W A X j n X d O S f z x V I i a C O g 0 / S H s M s Q h X w 1 q C u 3 2 z 5 u T y h / s o 8 k J a z 4 T 4 h X i n i / s j O + c N U / d A t T D 2 l 0 H Z S w f W A R V T w Q v / / G 4 P T Q f n m e 7 C s / O q v N 0 S W l p Q 0 E j s E s R e + N P R A Q M 8 T E x G 3 r 7 + i S + X D z g U o a X D 4 0 C M 1 L N s K E 3 A d 6 2 9 + 7 e e 2 N y 2 o E 4 e q s B o i M Z 4 G p e a g / g a r G 1 s o I + Y S F 8 t L R f J N Y Z f m H h N r 1 e t 2 z b b S 0 J J x G H p 0 O F 0 d B p J a X l k u M 0 l 9 v F 3 + G j 8 T k l s d I t p a X K Z 5 w R y T b U M z r Y C r x N W A H D P m r A w D 6 Y F U N w 6 u r q E r p 8 U 8 X R Y 0 f p / r 3 7 e i s W q y F a K l I P t s 1 c y K r i 3 a U W q d B H 9 S a e P w A 2 I i Y P Y u R F V 1 e X B L i 0 d z 1 g k Q I g 0 R R / Y B d f D 2 y o s V k H D Q 8 N a n X W I S 7 + Y 9 v i J V 1 6 I O 0 I 5 c 7 b u 6 S N k 6 i B f r B j N q o e 9 v X 1 R 6 O Z x g P q n h 1 Y i w l r K j 1 + / G R V D R / A c C h 0 W I J U u A b 8 P n J 0 z n Z 1 d k n 5 / o P U 1 l R a 6 t 4 T Y W T G S X 6 P d X 6 R 3 5 p 0 a G C P U 7 E a Y K j S 4 c O H q L K y U k 2 B 7 7 B i T C S S T H a 8 f O 0 W J w l G X 6 B e J L A n P o N X P a O p b W 2 9 r j 8 G 0 s 6 G C v B L D w 3 c n p Z D J z d c j P a G C r f c 2 x 2 r V M Q D 0 X p q a q p l a E w q w D X d u H 5 T G k l d f Z 3 s w 5 t 7 y 5 Z y u Q a n 0 0 V V 2 6 q k f + c I N 0 a 4 7 j E 1 P B m E I 8 l 5 I a + 1 + W R 6 v g H i P i D u H h w U 9 o Z + V U 8 s f B N A y i B h v l U f q 9 T J A s / p + 2 Y V 2 R Y B c Q x m p 6 f l + y L i k l z c B t Z z S r v 5 U P D G J U M k g 8 q q b d K 5 i L d o o j F l A N 7 6 S 4 2 m x l t z B 9 t c S 8 X m i w c i s O L 7 T r 9 z S u + J h R p p H a t q w W 7 D 1 H A M 9 c H 6 u M s h F F T T L k z C e D l 8 D h 4 z q E z o W 4 N q e 6 x i g v J 9 c 0 L g w c E h e T l A V c a 1 n a + f 1 d + 2 9 g g G L O 8 f Z g I v B x F E u h 4 z 8 y w 7 K i M z S 6 n 1 Z k c a J X l Z p U v K y K + S B p E s m Q C t P S w L 9 E W Z 2 N y J g L c l l u 5 c D l D v M A U C o 6 o h e Z Y D S I V x b v G A C x / j C R G C C 2 P p E i H I B M F Y O 5 M w Y Q + f w y B c d A P A / o N t g 9 + A x I C 9 i I G + Z l Q I J C X u B 6 u D G C x l 4 6 w G d p X 6 c u t K H c l c O a g f / v 2 b 7 Z Z d i 2 v s 6 + 2 W / U N D y j u b L i m t V L 5 g 2 A q D F Y + l S L a S H g + g I 9 F M D 1 8 K 2 2 t q p D M 4 0 e D U 1 w O v p S H F r 5 C x H M L h p Y 1 u x L y D Z F S G f u y w H c 8 S N m C q q M i 1 V E f E U 2 8 b W f 3 3 4 t k j A M s X X 3 w l I Z g N D m 5 N 1 o G i 6 s 5 e g 3 7 R G P h F N g w 7 a n F b W K 8 p r Z w S L A S i x F m K W K t B s q M j E N f O r h r C 9 r l x 4 y a V J r C / V s L Q 0 M q j x r E 6 B q T N v X v 3 R Y r e u 3 u f K v Q U i z d F W X a s c w O d s a l 4 / f D s M R U E A V j + 5 V / + l a W K g z 7 5 5 K P o d B V I v c c 9 y b n m U Y u o S o S y h r c P y 5 Y W l 5 b L f q j 4 6 Y S 0 s q H C 4 e Q c E Q a Y D Z s M J M p p M r o h A 4 T C q h g g I W y f 0 6 c T 2 0 o r w Z X C c h l Y y Q I S F F P S M S 1 i L Z C X Y H Y y Y J b G W Q 6 w 2 7 D E D j q Z 4 R 3 9 1 a 9 + I b a a / R m 2 D i V B J l O P k i / Q s 3 4 3 F R a V 2 D y Z X N f I d P 2 n Q 0 o r G y r C r 7 1 U p F J D 6 c Q i l S k R g o h 1 n C S g 2 t m j r a 4 W 1 d X b d C k 5 J E v 4 V J B o M u O l 1 u W 9 f n j + L S 2 v 6 O O P P x R p C d s T d h q i G p m 6 e d z r p o 6 R J F 4 Y f E s x 1 c k b k E 7 2 f k I 5 z n / s 7 W A 9 p 7 S x o b z Z 9 j d X L D w 2 A 9 s g F A r S 3 N y s e O e G h 5 d X r 8 b H U w t j t R a D N 1 e y 2 X 4 s F E 5 e 1 y U L W O 8 K Q B C V j o 4 O u n b 1 u q x g i C n y 8 C j u 3 F m / i O D o X m h s f C a j H x C 2 O X l A C n H 9 M W l Q i 1 3 D Y e l W U P v V 8 Y l J v P A W t 4 n 1 m N L G h n L 5 i / i Z J 5 Z Q 9 p U B D Y 5 W O 8 Q D V l p a I o 0 B M P 1 Q c D G D F O a 7 E I M u F Z j v W y 3 w u 3 Z v 2 E 8 B 2 D 9 Y D P s I q 5 P V B b E 2 J B 5 L C 6 t s h f k F M m P 3 z L v v C G G w 2 i F e a t I B G w d 8 p t t h R c p N D t w I 8 U H 1 X 8 r d 0 8 o G m 5 g Y V / s 5 D b x e 3 C G 9 X p E 2 N p R 9 q l I i U s X D v t R L X X 2 t r D L x 9 d f f 0 n f f f S / E a m 9 v l / g R 1 6 7 d S N h A l k O i T u B U A E P + h 1 D h U g E 6 Y D G 6 H t h R s l j l b R t 2 0 o E G i y B Q w 6 D m w p O Z 6 N o x u d D t T s 4 J Y S A v S J 0 L c 9 R O 3 o f F D N z k d s p R 1 j K 4 8 m 1 t Y T 0 n x / e P X q z c O t c B I v 5 d b A + p t Z 7 i + 6 I S E e x Y 6 Y B 4 n g x Z 0 I j x h k 0 k G W C b q Q X B L M C D h 7 4 l 9 O 3 g N + F t Q j u C T Z Z K 4 J V 4 Q C 3 a t 8 8 2 n z w F 4 D r e 1 H Y z w F q 4 x 4 4 d 1 V t q R i 8 e g b 1 P K p m A M X j 0 3 2 H 5 U L 0 d D 4 R m W 2 r d Y U z d w M i P S B g R q z j x 8 8 a I i Z x I H 5 V m T F P 7 i J t G 5 v w U m Q / Q s a O V + l P r G / w M 0 + M f z K d k J B O A 8 9 D J e v P G L Z F M A B a c X k r N s p M J s 3 a / + e Y 7 G h o c Y v L M S g c r O h r N M i 9 v Q i b Y H 6 s h 0 y W 2 Z d Q I i l j S v w k w a 9 Y O k M f h S O 7 5 G r Q M u t V a v H o 7 E Z Y i E y D y i e s K 9 W U S t k f D R Z S V l U O 1 Z V i p U e 2 3 t 4 X 1 / C 9 t b C g 8 a 5 W v X O l Y s R 2 D W + F m R g 6 J 1 t 5 u D d p M B L z 9 s e h Y B 5 9 3 4 c L 7 M t Y O y 7 2 Y V c / X A q u d w d t w q E F G U K T i a l 8 J 5 l o Q 7 m t o a E j S k Z L X s Z M R t X M i H u g a u t T i Z Q n y J t L S T i L Z j O 5 D Z U 9 N T o h G E N 2 X J k g b G y q V h + p 0 e W Q W a G Z m l v T g P 3 / 2 Q h L G u k F y J f o u x P F + / O g x 7 d q 9 U y Q S A I k 0 y l I l / n w 0 P i y m F h + / f D n c e T F E T w a S j z p k g N U F f 4 h g L / B 8 w j F T X 1 8 n E / 2 Q I H 2 h 0 h p S h e M e 0 2 x I x Z D A g N Z k + q u W g z x S T k w X 9 Y 9 3 q M e s y h m 5 h d Q / g Z X u 9 f 6 4 9 r B e k + P i 4 5 d x j 2 1 9 I u D a I Q H s I U n U Q 7 Y u 2 1 4 2 g B b n 6 P 6 C G h o a R N J g G I + R N D C s 0 S l r A L U O x 2 A v x Q P f D Q m 3 l O 3 y 5 P F T q q 2 r 5 Q Y 6 R N u 2 q b 4 l q I 1 D 3 G A L 8 v N E w o E U j Y O 5 5 M v b Q q e 2 h y n P n / w j j 1 / 7 d q 2 A k R f 2 U R 9 2 w A M I C f Z t c 0 a U X F 2 j L p l u s V b A M 4 1 E 7 S f Y q P N s K 8 G G C o o d 5 Y w E a Z b r O x I K S t / U 6 V N q K Z z 1 D s e l x 0 1 p Q a h Z Z 7 2 8 U Z M l F H C h f i Y q b Q z g a I D b e 8 8 e F Z E I d g 3 U v I Z D S 4 9 A w G c Q c B 9 j 7 C Y n p 8 Q V n w j 4 r q a m Z j p x 4 r j e o / q 4 o H a C s P / z / 1 y h y j 2 n 6 X C N L 6 k F p 6 f R K c 3 3 t l J w y l Q B K b S S + o l 7 a W 5 q o f H 8 d 9 W O J Z 4 x 4 G G e h V K Y D y j 1 p w k l R N K E U k 4 J r m M m 1 H y I E 5 d r 8 6 f p W e 8 8 n T m l p s G s d 6 S N D b U a X H 6 l G g 0 I A a 8 d A E k D j x + I C R U Q a t v + A y q g C n r 7 8 e b G 2 9 M O O D N A i P B 8 e N F E R D u g m t n J B G B U h Z G M 7 x 6 q p L r s 1 0 m v 3 u 5 2 u U V V f R O Y + z T A s 0 j G l m t t e U U N R 2 L v J R 4 u 5 w K d 2 B a k c 3 U p T s s H o R a s a T i q b J J t H 9 e D x 4 U 8 L d 7 5 g v Q Z y 8 f A g 0 4 F W D V w Y m K S n j U + k 5 m 3 A B o 3 K u j a 1 W u y V l J r a 1 t U i t 2 5 c 0 8 W C X j y 5 C n 9 2 7 / 9 T u Y 2 f f P 1 t 3 I M 6 l x 2 j h r t v l r s 2 r G d C n K W H 9 p j B z y T 9 T v e 7 M 0 M S f P 0 S a P e w k I B y c 0 Q P n B w P 4 U C U 3 S k U p N F v x S A g s y I T G 8 / v y N I u R m p P Q 8 h C 3 I p 2 w m U O I 2 J k O a z 4 9 v D O k 0 b W k I B L / r C d L D h o C w p I x X D C L J e f v b c W Z m 7 9 O t f / 1 K G 1 m D p / 4 q K c i Z O l Q x A / c M / / K U s H o B 4 f X Z g Y G j n a O q 2 B K Q e o i 2 5 b e P U k g H s O v Q Z r R a D r 4 e o g G 1 I g 1 2 7 F g e o S Q S 8 Z B 4 / e k K F m Q u 0 r z x E u f 5 I N P j K 0 S q 2 c d C A V g V N J 0 0 Y k 1 s p V l J 1 j j h l O 1 2 Q N v 1 Q g F G d U k F m r r J 3 o L Z B 8 g C Y i g 5 V C M C Y u s N M m p M n T 9 D I 8 L D s M 3 A 7 X T E e N o w u g D d s a 1 7 q A U Q a n z Z S Q U F + d O Z s M k B / G B o 2 G t Z q g K U / d + / Z J c u Y N j Y 2 U m 9 P b 9 L 9 a H h e m H W M i Z B b c s O i 2 r 0 p F E l M v l I y x F L k s r e F 9 f w v b S T U K r g k G N E d i + g Y x Q h v 2 F J 4 a 9 v J m c U 2 h X T a M n n C r A 6 a / p X t u / Z L g z Z B N Y 3 t s Z r u o L 3 7 9 k o 0 W c R R N 2 G I l w M m M n 7 w w X m 5 z u P H j 9 G L F + o z W G s J X k S 4 7 e M B b y V s w D u 3 7 0 r 5 I K t t A O 6 t r K x 8 V f O 2 Y A O u N G L / Z l u S A 3 2 j R I k n j k U g / q O 3 7 S m N J B S T K k Y H X L d p l U B c g 8 + f R K i w E L 3 v W f L W P 3 H y 2 C L v H w C P H F Q Z L / O p e 9 x F D p e y d 1 C h s L d W O 0 o C I z b g D I G X c O f O n c t G l Y X 0 g q M E v 2 U n / e S E G i C K c Y S Y M o E R F / A o g j i 3 b 9 / h d F f U Q 7 j C j 5 8 4 J k O u 7 K 5 + d B 2 s R s L j + / A i G e f f + Y r t y U d s i 0 L t t c 9 c n t K h m J e D E A P / k P P L y R D I E A Z 2 L c p 4 c c n x u J S w T a z D l H Y S a j W N w u P L p J F I s a g x Z 8 + + S 9 4 E / S + o y M r K C v l + q D g 9 Y 2 6 a m l U G O R o m I s u u B p 2 d n V E 7 D B I S Y b b i v Y g A 4 t t B E o D o t b X b F / V 7 D Q 4 N i X Q y f V K 4 T g T s B H H g W T z B J F r q 2 e D 3 0 L f 0 J o C q + t G H F 2 g X / y Y a / u P H S n 2 e C 6 V Q H 2 I + a V J F k y Z N l G A m q W M R X U 4 X M K H w Q N I h 8 d 9 V k M m g b d h N A Z Z W e P N j U Y D 4 S s K b 3 s S E m J h z 0 o E t Q S r V / b z 4 X Y x + X g 1 g g 9 j n P o F U G G k B 4 B r Q t 4 a 3 P R w P k A R L 3 e P P f / 4 z l k w + W a w s V U C C Q X r F k z R V 4 N o g H S 9 e u k r v v 3 9 W 9 l 1 9 t b K 6 J 8 8 a B D H / U A Z R Q C Q t m S Q J s S C l 1 H E h k y a b 1 Q 7 W d 3 J c e d q S F v S f c 9 b S X C A k K p F 5 w 0 t F 2 f J k g J 5 / 2 B m w Q + w q H E Y k Y G J b Z q Y a Q T E R c J K P Z k X l Q a N / 1 v i c 9 h 0 8 l H A y Y z x M x y l I m m h q y B e f f U l 5 B W y v 8 b 2 8 + + 4 7 e m / y w O d S J Y c Z / f A m L y U A g T t N r E H A h F N e G o Y s T B S Q R O o P I y R M p 6 4 e a W 4 6 d k N q p I T k o Y C k y H y Q P v r o i P 6 + 9 Y 2 0 s a F c n E x j e J N G g Q g / k 1 g a k 1 W n g U m X j I Y e n X G S 1 5 / J k s u a v Y o V 1 o f m M t n + I r r c n k t D W S d l e j i m O S z H X 0 g D N N y H D x 8 n V O 0 Q v + J n P / 9 E l h 1 d D Z k A E A r h j 1 M B 7 E d 0 8 C a K 2 p Q s c D 9 2 M o 1 M r 2 w x 4 F k p K a Q k j U r W d k T K i n B R 1 c / k + t y M D J a C u h 2 s 9 + S 4 0 p g e E s r v y 6 O B K b i c M W R F P W g k w O T J I h Q M C C n d H k t d Q e X N T E / S t r I c C W G 8 0 l f a R 2 U b Y H H o p Y J p A m b E R q I x g 6 k C U h D q V y L n y n K 4 f P m q 2 J G r A a S c f R j U y t J J P V e p L 0 7 I j X S S Y U f 8 P K L S S S S U l k y c h z k P Y V x f c I 5 q a 4 q p f k e a z I d a R L F 1 m u Y C S 8 d 9 S F V i e b y + G D I B W J 8 o K z u P h v m t m w w / + Y W 6 C I j z v R z Q + N e C T A C k I C R V o q V 5 l s P J k 8 d l R E i y g H f P S F o 7 m R r 7 V r Y p 5 U W H 5 4 S M y 3 b p I + Q S C a T 3 2 R O O I / H 9 Y b u 2 b i t / y e I 2 s R 6 T d H i n V X p D G 2 C t A N U R w N y g 1 1 M u + u q 5 i 3 I S 2 E t 2 g F D L 9 e l g s b d b t + 7 o r c V o Z D s O Q 4 k w B Q X O C c R P h 0 s + W U D l Q 3 9 c Z 1 e X k N G M b 7 Q D 9 i V s R g D E g 3 c v X g q G + J 7 7 J p a 3 4 Z T W w C Q S G 0 q R J E o W n W M 7 p s y f k W T 2 S 8 7 2 I v / + o n a w X t P V Z 6 0 J 3 r X r E 0 5 n O Q 3 N u K w H L p W m k K r a 9 0 P A 7 1 m g y r x w z O J m 8 c D q i e X l K o 6 3 H b / / / e f 0 i 1 / 8 g Z R v 3 r x F 2 S w N Y K / g B Y I G D Q L Y p 5 z Y c f f u X R k F z w + B f D 4 / v X P m t D 5 i A U R M 5 O n D G r i w 5 / A 7 6 G u r r N w q 5 Y H + A b 2 A 9 G K s p O o p a S R i i f + r u o q q e U b l s 6 t 6 v B 2 j 8 m m H B F T z 8 H y A n 8 v q Y h / + F E g r Q j V s z a f v W z O 5 Y t R b D D B E + q k J B c G J S 0 D + w Y 6 l Y z H g O i E B 4 D 2 E F / D F i y Z q a D h A L a 2 t t G / v 6 m J N x A O d 1 y A f O n P 7 + / r o 8 J H D o i K i I x i d y n h S 8 2 F H j M c S z 9 N I o n h P n h 2 p 2 E 1 4 I O J 0 A J E 0 o Q y x F t l Q I J N 4 + e D Z 0 6 R i + w m E + u W v z u h v X v 9 I G x s K a X w 2 J J W E N + h 6 U f 0 M Q C Z 7 v h R w 3 c r 2 G Z V G j w 5 Z k G t u Z m k S p g o M W c L S p p j z d f 7 C e R m P i L 6 w X b t 3 S a P F k x u f i 3 1 + M W r d E s 8 2 O T J B K q E A O x N k M t q E 0 i j k H + c i t Y z 0 M u c I 0 c y 2 K p e U o G t D 1 X 8 6 p L S y o T p G Z m h L T u J B m u u F Y G 5 H i F p a W t i + u U F N L 5 v o w Y O H r M L d p u 7 u b h m 9 D u k E a X G D b R + M s Q P g y j 5 6 b G 3 7 W R L F D s R C A 2 1 t 7 V I u z l I S P h E S x a 5 I K u 6 5 M E k K t C D V Y R F I U p Q s V s K + G C K J O q h T Z J 5 O n t y f s C 2 s 1 5 R G 1 p 5 K 9 U V Y y x U h v b B j / e F c f Z j q 6 + v p 9 D u n a e e u n b I u 1 f 7 9 e 2 W F v 7 K y M i E R R q 0 j C K d B K l 6 3 Z I B n c 6 9 H E Q B T 1 x / 3 W l N G s r N X n v 0 b b 2 e t S C b + P R F K X C V R A g l B V B 6 1 o y C l s G 1 L R h I p U s G r p 3 J T d u C V r + s + H V J a q X x I s u A a K k C T a r 0 R 6 / W k G s Z k 7 0 D F + D s 0 G k S s x f V u 2 b J F H A E G s K H W C m j M / 3 K x i f 7 8 f J V s V x W E 6 W C F C m S J V T z w 2 y v B H m 4 t h k x 4 1 o k S I C Q y B A K p V B 0 Z t U 6 2 h T i a W L J f k S m a R C r p / V z G u f w D a Z U W y / Z 1 j g U n v H w q r k Q 8 1 g O 5 3 K w u Y b g R F k O z A z Y K l i d N B O O m X g t g 6 d P / 8 P 5 O v a U A 1 3 7 H 8 I J I y 5 W A 5 4 p 4 h I C J c b 4 S h E A i m U A U Z R 8 Z 8 k j C c c 6 F L E I s R R x z 3 E g k R S o V Y w L q X m 3 t y u R f b 0 g 7 Q j U N T k u F K E I t J t V P C a x p W 7 S E b Y I + I J A K j c Y O S L K 1 C s I C Z 4 d 6 L h Y g Y b 5 v 8 d P 9 V z N 0 v 2 1 x y O V 4 4 P P t b G d d b P F x W e 9 c B v J 7 n I Q 0 n K L S R 5 e F J I Z A 0 W 1 r n 7 w c U R Y S a b e 6 3 n f w k A q k k 0 5 w x k v v d E j 8 t O V N B h U D W C 9 q 3 3 K X g T 4 g z B R G f 5 A B Y q w j D B n 6 j t Y C 6 D T G n C t 4 E B E b o 7 m 1 g 8 b b b 1 L v 0 y 9 p t O M e + W d b V p z G A d K X b j 8 g g 4 V X Q p R M x m 5 C s h H G S K D o P l H j F G E s U t l d 6 l o 6 h U O 0 w G V 7 n a d L S j s b C u m 9 O p A J l c A 5 K t W G n 5 J c m B 6 C / h 0 7 Y E / B d g K g 2 j m 0 e x r X j R m 8 m C u V j K N g J e D 7 o F J i p E N z U 6 t M 9 R i i K s q u P E r l e z + i P / 3 V O Z l n h b 6 o F 8 9 f L j l i o 3 / S S Q P h K v J n 5 u g 9 i a E I x K T g Z C f N I h J p q S T 1 Z Z N Q C 0 I c 1 K F O Z l u T q r A Q o 0 5 i 6 z 0 d U t q p f E D r W E B V E C f k X L 3 q w D r A x V Y r 1 j e m u / / u 3 z 8 X I m H F v 3 t 3 H 8 h Q H g C B N z F 7 d 6 3 G 9 k G l h H R C Z 2 5 2 j g o f P R 3 O J J f b Q 8 X Z I k j E X Q 8 7 q r p m G 3 V 1 d t P L l y 9 V 7 D 8 b n v Y l N 7 9 J k n Z C C E F A L E 0 w R a D Y Z P Z F C W Q S B j s z g a x R E 2 p K x / k P 0 2 d 0 h B 1 p S S g F V R G q A l V n r 8 F P r Q L C / g A Q j / z U 6 R O S Y 8 W / 9 8 6 e i X a g Q s 1 B A M y 1 x N d Y p n N 8 Q t Q 1 r 9 d H 7 9 c F Z F T 8 k c o g 5 d i i 1 a J D G S G n K y u r q K + 3 T + 8 l u v I q u Y 5 b / i N J k U h L K h t 5 F h Z M v d i I E y U T H 9 c z B t S 2 c U L o x G S i h d S D 4 K w X p K U N h V R d y n o 2 V w B U B 8 l R y e s E 4 Y i D f v c w I L N 1 8 / O t S Y x m s i G u 9 d W r d r 4 P v p E 1 A i Q d 4 k 1 g V Y 3 h 4 V H p n H W v M B k S k y n h 0 v / 2 m + + F h F B Z l w e + j w m E f w n I p E i y V A J Z O I 8 h T + y Q J J F O X P 7 4 Z + 8 u q u 9 0 S W l p Q y F J J y K / C S 0 1 I T Y 0 1 0 8 t p f y Z e d T j P C A d u Q 8 e P B C V D C 5 t 2 F P f f X e R V a + G 6 E i J t Q D u d 3 D G S 5 c u X a F z 5 9 5 N 6 r v x G a y Z 9 e 5 7 7 9 B X j c u T D + Q x Y y j j 0 2 J V j r f t x I k m R R h T Z 0 I m 5 J j / x C n C a S E c o v y C 9 B p u Z E 9 p r P I R F W b b K 1 J V 1 n p C h F l / p X F C 1 C 8 4 A W p r a 8 V 2 w j i 7 + H 6 q t c B c a I H e e + + M 2 E q p A G M J c w s S x 2 s H j C S K q n R I I q F U W T 1 / 2 z H e t p 9 v 1 Z E h m s 4 1 q V R C O U R 1 d a p D O l 2 R 1 o T K Y w 1 q Q X R w J a H M W 1 E 1 g F i 7 6 q d C y J U r U g D D e d B o q q q q C K u I Y O K e 8 f 6 t F W p 2 7 K V p D C B O E b C d l n p S 5 l n G T 2 M X U k T J Y o h j b U c l l O R 6 O 7 p P 1 Z n S L G L T 8 V M N + p f T E 2 l r Q 5 m U 4 W E 1 h C v C q h y L U E g / N b L y S s j l y 5 H p 6 h 6 P V 4 i F R b L x 4 B u f P u P r X j u p O t y l Q n u l i v d q A 1 H P p B 3 W c 7 Q T S a l 9 R h J Z Z N J k i S n r Z E g l Z U s q Y b + R T F D 5 q i p L E 9 Z x O q W 0 t a F M q t z i U h V r J x V v c + 3 z 8 Z + e U M D d 3 l w x / t H f p P J s c S J g I Q D Y V g Z w D F y 5 f F V m 7 W J / q k O S / v C T M / T P n 9 + i y a n l I 7 3 G Y 7 E z I o 5 I Q g a V F I l M s p P J V j Z e P M n 1 u b p + h E i i n u t t s Z 9 Q b y E 6 e x 6 u 8 s V 1 n E 4 p r V U + g w w f 2 y t C J v P m 4 7 I 0 B n 3 C O s D g 1 O J H D X c 6 w i Z D 9 U M H M K a k I 2 Q z B s u i Q S K y U S o S D N M z / v g X p + n m g 2 b p Y L 7 S 6 u P n o A 8 u A 5 9 b n x S V S J y i B F F J S S d O c Q Q z Z I o t I 9 d J 6 s N W 5 l w k V E y A l h A / C 2 v 0 f T p j Q x B q W 4 W H K 1 l V j F I f 9 J u P K w u V v x 6 Y 9 S R B h y l s v P f P n 5 O + K T R i j P J G x y z U Q 8 Q M n J 5 K P t p r Z 1 c 3 X b x 4 i Z q e P 6 W 8 j A X q 7 + + h U 9 u m a C q w d B V H y W O S l k x 2 c k Q l E p N A a Q J 6 e 1 H i Z 4 5 c v 9 j s E k l J I r 0 t E s m k o E Q 3 Q t y 9 T 3 5 + T l 9 V e s N x s 7 l z H b 3 H V 4 9 A Y I F a O u b I 6 X L L G r u I 9 O p k e w X B K 9 F g M e Q H k Y 1 + K j R U 8 F s 4 y Y X W D D o 6 O q i i o m J F F z h U w / / 1 2 U P 6 y z 8 6 I d s g B b y K H R 1 d M s k R c d C 7 e n r o A p P X D k M k o H X I R Y / b x i k 7 p 4 C l E O 8 H m U T K q 7 K Q y 0 g n L a 2 M D S W E M u q d I R z I Y 3 L 9 g p s 3 h N K r E 4 a C c z L l / Q 9 + e Z Y l 1 N I L 2 a U T 0 m Y 5 m 5 X + + X 1 M l g V V e e b t G H 1 b 6 o q 3 p N W P / w 5 5 N p B 6 K G d 0 B G M y 4 k r A v Z 3 c b X U g Q / J h B P v e v b v p 4 0 8 + p M G h Q Q q V v C f n 2 a G 5 J O p m 6 / 0 v y Z + h V s w H U Q y J z L N T u U q m M 1 1 J I p 1 s x y 0 y a f V O J 0 O u e e 2 E Q E K / U 2 l J s a 0 m 0 / v f h l D 5 D P b v y u W K 5 o r i S o K R q 1 Q O J F P Z 3 D D k r a v e z t E W 9 S M A q 6 a / f J 1 a R y 5 m 9 b 5 4 3 i T X H e S 3 O u 4 j E b B / q W F M k N R Q I c s K / G J P 4 b s Q h h q j 3 p 8 / e 0 Z f f P G V P I v d R z + Q 2 b G K P I p A I q V s Z X N s d 2 m A j l X O R s + L 5 o Y 0 u m y 9 1 H Q 9 i N q n i I R g l u j I / a u / / U / 6 S j c G X J / + 9 / / x T 7 q 8 I T A z E 6 K 5 w O I 5 S X h 7 K M n E J S 5 i C 4 U f s 6 8 K o R o q c l N T + 9 A 4 M T 4 P j R F R X z E 1 I y s r U z p j M R E Q L n g s f 4 M g m / a Z t g Z T U 5 N C z P s v e s k b H l W S h Q k A N R K D a T E C H e U s T 5 j a h t m W A z m Y Y E I m e f m A L N j m z 3 F 5 W 1 6 Q S r J C N D h J N D Q F g o I 8 h l h M I t l G s h E p S i i Q C T k W p g 5 S d f U W 2 l 6 r V s 7 f K H D c a u n 6 8 V 7 T P x I e P h n m O 2 P b i W 0 p Z V O 5 l E 0 l 9 p R L 7 C l j V 6 n B q j 8 O q U 5 X B y j L t 7 r H D S I B i G C E M m K k + / 0 Z I l 1 y c r I l L g X u 5 c M P L 0 h f l w E C W 2 L / v 1 5 8 Q b / 9 9 U k t l J X t h C R k E e I s 0 H d N X i l b + 4 y E U m X e o F P b l G Q a n F y g Z / 1 q w m S M y i d S y J J O h k g m x L I J E 0 a s S f z V p x t L O g E b x o a y / z t 8 o F h X p l L / l K p h J X V M v U m V O q g a 1 A + J s 3 V z K Z M J q 9 I j M G Z / / w C 1 t L S y B P K I R M W w p d 2 7 d 1 N N T b U E p g S O H z / K E q d E v y A U M I G x r 6 9 f S O i I B G l 4 Z E Q T R i U V J 1 7 d f y B k l a P k 0 M 8 G y b k Q p p P b Z u R 5 j c 1 o M u l n G D 1 3 0 T P m B B L p p C Q T V L 0 g / f W n f 2 a r s Y 3 z b 0 P Z U H b s 2 1 0 g O r q o G Y t I Z V V + b I N g W 0 H e z G j 4 a 0 s w r I q Y K n B 9 i K e H o U t Y F h S S K B 5 Q 1 7 D u L 4 i 2 f f t 2 y X H 9 I B O m 1 7 9 8 0 S x z n g 4 0 N N C r v m k J 4 2 w n U 1 j K 1 o s F + 5 R a a G 3 v K Z 2 j 4 1 U z 8 n y g 0 j 3 q 1 m T C O f I M r e d q f 7 a K T M h 1 G X Y g k 2 n 3 n t i Y F x s J G 5 Z Q f h / b E 5 i X Y 0 g l S V e 0 T t J A J O d k G h E 3 N P U W h 9 2 g y m 8 q v V Z D J m A p + w 7 X E 5 8 g t T D 6 A l P f E T l 2 Z G R U + r I + + v g C B e Z Y z R p p p g N 1 J T I F X p E H 9 8 7 3 i W f A 9 3 m l 1 R O 9 f 5 O / U z 1 D p 1 k q 5 X r 5 2 f F 5 8 5 x C 8 + a Z q T y G R P b n G 3 3 e y K H u K b v J 7 / P S m b N H 9 Z 1 s P D h u t 3 b / s L r O T 4 z b d 3 u U P c X q k t O p + 6 a i / V N I 2 p Z y W H 1 V a M j S Z y X O C / m j c 6 u B S 8 n 6 s y z 2 l Y V o S 1 5 q z g g A w 4 8 g a e w j 0 w 2 B T N k A / U 4 g S 3 t 7 J + 3 Y 2 0 C z I R f 5 3 R H K 8 m J 9 4 C 4 h l 4 q r X i Y T D I 2 d h P x i i 7 K d 1 A t E d e z W F g S o L A c v G p z D U k y T 7 H q b W + / D t k r q G M j D Z S a S I Z d R 8 0 T l C 8 7 x M 1 6 g v / 6 7 P 9 N X v D H h u N P a s 6 E J B d y 4 3 c m y G G R y W 8 4 J G 6 m i T o p 4 U s H C R F n I h P 8 q 1 6 V o O R 6 x u x 1 U k T 1 L O 0 u h T i 6 s 2 E l r B w i C G B E g V D y J k J s E L y B y r N g O N Q 9 q V l N T i 3 w O X j z g 2 r U b t H f f b p m C D y 8 e p N P l V h C J v 0 M T y Z A K h I H z g a k V J R T I N B t c o H t d U P c s Q o U j 8 1 S W F a S e U a W i G m 3 A d O L C A R E O I T h p m D 7 9 r 3 8 h 1 7 K R 8 V Y Q C j d 4 / V Y H E w Q E M s Q C k e D 9 U 3 l U Q o F c U U L p P C q x Q C R m i v x X u f 6 j / z K i B U B t l G Z M U n X u j N h D W K 0 9 F A x S V n a W u K 3 R f w Q y 4 z r Q k W t 3 K q C R P 3 v 2 X F z i Z v l S 7 D M 5 i P O / / / 0 G n T 1 z j L Y W a X L Y E v q a c O 0 q 0 K b e N 0 v 0 q M f N R O D t G C K p 3 I z V O 7 R 1 j r x O J Z W M h L o B 6 W T I F J V Q W j J x j r K S S p p U y J l M 6 B P 8 9 B 9 + I 9 e y 0 f F W E A o I B s N 0 + 1 4 n k 0 Q R K i q h o u 5 0 G 5 l 0 2 R D J I p V K I I r k 2 M a X S 4 5 t b N h h 7 Y C X z + P U j 1 p / D o 3 Z A G V 4 5 N r b O 2 T k w q G G B m p r b 6 O J 8 U n K z M q k 4 u I i G W I E l Q 5 l r F j f 0 j 1 B 7 x 3 f p U m B p L 7 H J A y u P X S o g c u K O C D V J Z F K F o H k X C E W y K T K R k I Z 6 Q Q b 6 0 G X i y U U b 4 N E m l B i I w m x l I p n J F R U 1 Z N x e i H 6 7 d / 8 C a u Z a x M q b b 3 D c e d V 7 1 t B K G C e D e o b t 9 o s U i 0 i V A J i o f F L U m U h A 3 J Q S M r 4 Z r 0 f R c B e l m O q F L / M z e C U i 8 b m H F R f Z E 0 K N J V x + 9 Y d O n B g n 4 x y Q K M H y S D B o A J e u X K N L l x 4 X 5 F B k i Y S P s 2 5 E I N T Z 0 e n x F R H e W C C 6 P m A W 5 0 X Q y S c D 4 I p U i E / u W 1 O E w n E i V B o P k J 3 O l x M n F j p Z B w Q d k K J i i e k U o N e / + r T P y e f b + V I S h s F b x W h A J D q 2 o 3 W K K n s N p U i U r x N B d L Y i a X J I 6 S x y g o o q 1 z + 2 s o G F 1 Z Y O 8 r g 8 e M n T K j 9 i m B C A i n I O T O z s 3 T t 6 g 0 6 d e o 4 Z W Z m y T 7 8 U + c p Q m G k e m 9 v n 9 h Q 0 0 G i u 5 2 G T J w 0 k U Q q m b L k E d p f P k d + l y K S k U 6 3 2 k E m s 2 9 p M k V t J i Y S v H t / w 2 T y v k V k A h x 3 3 z J C A Y H A P F 2 / 2 a J I 5 Q a h k J h E x p 4 S Y o F M h l S G U H H E E g J x L v / x R / 5 K b q D 2 6 w 1 G t i 9 C x 6 s g k R Y / d m 7 X + C t l d O T W 1 d W q L W n 8 U r D l c E a M c 8 M N s 3 2 V j z 3 6 P E W o B / c f U k P D Q d l G g l t c l R W B o k T S U s l I q a N s O 5 E 4 I 0 A c J l M H 7 C a Q S R E J e d R N H k c m o + Z h K s 1 v / + Z P J a r S 2 w b H 3 b a 3 j 1 D A 3 G y Q J V W z I l W M l A K h 4 l Q / I R X I Y x E K p F l E L M n x 7 T g u / 1 X Z l g G l O R F x p Q O a H + a P A C M k s C R n T W 2 N k A R Q j V 9 K 0 T L / l V B l W H F w z 9 7 d 5 P P 6 + L o d d O v m H Y k H K M T B u W w v 3 e n 0 S B A X R S C V 2 0 k l Z U 7 H q l j d g w T i c v O g k 4 Y n Q T 6 L T E Y 6 G Q e E y R W h Q n y b E f q L v / x j C b b 5 N o I J 1 W f V 5 F u I b 7 5 9 z E 8 B Z N K k E m K 5 F Z m 0 h D L k W i S h J O d 9 + C K U U Z J c b R s o s s X i X F 1 A l w w 0 c T j d u 3 u f j h 4 9 z A 1 d 7 V E Z G r 7 e 1 m U 0 7 F u 3 7 9 D h Q w 3 i Q Q Q p Q M Y Q N 2 x 0 8 i r i I E X o 6 i v t j M C 2 I R L n d v s J n 8 / 3 z 9 N U I E K z A U 0 k I R E f g x S S M s i k S K U 6 a y 3 p x F y m v / / H v + Q b x n W + n d i w I y W S x Y c f s F q E 3 n x W V a C u o J G I H R C C P a D e u v Y 3 s G p A c U k a m c r t y d 7 4 1 L Z 6 w y M F Q 9 Z + l d R I h D D b e F N s / 0 j Z J N 6 n t t G I 1 b 6 x s V E a H B q i 4 8 e O i R 0 o + 5 k Q I N a j h 4 / l M + o 7 5 6 m x j + U G 5 + q 3 1 W / F / j Y n f R 9 D k x G 2 0 f h 4 z P 3 q Z y D P S N l J 1 l q 4 y O f I x W z 6 + / / 2 d p M J c N x 7 y y W U w d f f 3 O c G C U k U K 6 0 W S S p I J K 3 + Q Q p F J Z a R T i K N k O N b V e u y l + 1 4 z y 6 l o r W w I P H Q P / n Z h z I d A 5 J I S S X 5 K + e h L 2 v 3 7 h 2 U l a 2 C l h u J p f I F a m x 8 R t W 1 u + l B L 0 I D a G k U J 5 2 i k o m T K S u J B G m E 3 J Y 0 A U 1 u E S 3 I + 0 I y m X G j z W t a L T Y J Z c O T x 6 + o q 3 e E C W M n F H K Q S Z E r q v Z J G c Q x u S E S 5 / I f f x S J 5 K 8 u G + D 4 i e q 5 6 D i / a C V w 4 d K l y x L A B Y t O w 0 2 O t X m L i o t k 3 S a 4 z s v L y + V 3 D I F M w l Q N k H B s b J x e z W 4 h j w c u d 0 0 k I Y 3 O O U l H L 8 g S J Z O N V D Z C Q Z o Z 6 S u 5 S D I l v X C x B w 7 u o f f O W a s x v u 1 w 3 G v v 3 y S U D W h 8 n / 3 + F j 8 Z y 0 H h c G l C i Z T C f k M k i 0 y K S L Y y K C M 5 g L I u K n p F s z M 1 i 2 0 p O B U Q Y g z j + M w K 7 k I K s A 3 / d V k R x S R M 1 w j K X K n c v C K 6 1 2 W 8 e k g 2 E m k C q W 0 b i S T H t i a R E C t W Z Q W J F K l C f E 0 e + t t / + I 2 8 b D Z h Y Z N Q S + C L z 2 + y c Y / o s 5 p Y c f 1 U Q h z Z V m X e U P u k z D m + R H J s 4 7 / K F a I F g W f o O m V l Z t B 2 z J 5 1 e + j F i 5 c S W A U A I U y O f 3 Z C w V n Q 3 d M j 0 g x j B L E f d t S d j j g y M Z H s z g c h U R y h o s Q S A o F Q F p k M i S C Z s D x 1 b m 4 e / e a v / 6 N c 1 y Z i s U m o F f B v / + 8 K L c A L K J J J q X 9 C K C E V J J b K o 0 S S x N u a Q L J f E 0 i V b Y h u O m h v W Y j y / N z A w R h A u K M J J N v Y 0 t t c R s d v b V 2 t x O K D 6 x y j y G 9 1 e P k g S K O J x L k i k t 7 W h L K I p E m k c 1 E B o y S y k Y m J h B y S 8 u / + 8 b d y e Z t I D M f 9 j k 1 C r Y S u z n 6 6 e 7 e J n x a I p M k l 5 V h C I e c / u i x s Y q q Y n G F y A M f j c H h r U N b p B Q x 5 p C x k k o L s 5 0 z 2 z c 7 M y N A k 9 D W h n 0 k R i Z M Q B 2 W d g z C G U L a y k U g W s b C t 1 D u T I 8 I R + r b q d 9 T S x x s k d t 4 P C S b U g K 6 2 T a y E L z + / R l M Y x 8 P E U Z L K I p Y i l S Y W b C x S Z c U n k I f 3 x Z A I 2 7 q o 4 W E y H W J S R Y m E g v o P B i l y S B E 7 0 U + 0 Q P e 6 M T F Q H V P n W G R S n b q G V I o 4 l o R S q p 2 d W J i K o S Q T w n u F 5 f p K S 4 v p T / 7 z r 3 E F m 0 g C m 4 R a B f 7 5 / 3 7 N j Y 4 L U X u K k 5 1 U 4 r R A g s G u i G N I h Y 0 o j 2 R f L H a V z F O O n 7 8 c / O B t k G E y g G A o b L v 4 I j Q R c N C r Y Z f Y d x a J T L L I F O v R w z Y I p n N N L i W d F J k g k W A 3 g W i 4 V n G F f 7 q x J w O u P Y j + P 8 N b W W p b D 3 9 D A A A A A E l F T k S u Q m C C < / I m a g e > < / T o u r > < / T o u r s > < / V i s u a l i z a t i o n > 
</file>

<file path=customXml/itemProps1.xml><?xml version="1.0" encoding="utf-8"?>
<ds:datastoreItem xmlns:ds="http://schemas.openxmlformats.org/officeDocument/2006/customXml" ds:itemID="{E01C1B58-D86F-446A-92CA-F28FD82B5B20}">
  <ds:schemaRefs>
    <ds:schemaRef ds:uri="http://schemas.microsoft.com/office/2006/documentManagement/types"/>
    <ds:schemaRef ds:uri="http://www.w3.org/XML/1998/namespace"/>
    <ds:schemaRef ds:uri="http://schemas.microsoft.com/office/2006/metadata/properties"/>
    <ds:schemaRef ds:uri="http://purl.org/dc/dcmitype/"/>
    <ds:schemaRef ds:uri="22b9fd3a-36cd-4bd4-af51-58391b73fb95"/>
    <ds:schemaRef ds:uri="http://purl.org/dc/terms/"/>
    <ds:schemaRef ds:uri="http://schemas.microsoft.com/office/infopath/2007/PartnerControls"/>
    <ds:schemaRef ds:uri="http://schemas.openxmlformats.org/package/2006/metadata/core-properties"/>
    <ds:schemaRef ds:uri="68e64b7d-3933-42c4-a834-55c5ce6af3a1"/>
    <ds:schemaRef ds:uri="http://purl.org/dc/elements/1.1/"/>
  </ds:schemaRefs>
</ds:datastoreItem>
</file>

<file path=customXml/itemProps2.xml><?xml version="1.0" encoding="utf-8"?>
<ds:datastoreItem xmlns:ds="http://schemas.openxmlformats.org/officeDocument/2006/customXml" ds:itemID="{0DD3DA8C-B500-457A-94E1-D47A39F30C10}">
  <ds:schemaRefs>
    <ds:schemaRef ds:uri="http://schemas.microsoft.com/sharepoint/v3/contenttype/forms"/>
  </ds:schemaRefs>
</ds:datastoreItem>
</file>

<file path=customXml/itemProps3.xml><?xml version="1.0" encoding="utf-8"?>
<ds:datastoreItem xmlns:ds="http://schemas.openxmlformats.org/officeDocument/2006/customXml" ds:itemID="{838343A7-4A25-4257-AB4C-9D6A588599D1}">
  <ds:schemaRefs>
    <ds:schemaRef ds:uri="http://www.w3.org/2001/XMLSchema"/>
    <ds:schemaRef ds:uri="http://microsoft.data.visualization.engine.tours/1.0"/>
  </ds:schemaRefs>
</ds:datastoreItem>
</file>

<file path=customXml/itemProps4.xml><?xml version="1.0" encoding="utf-8"?>
<ds:datastoreItem xmlns:ds="http://schemas.openxmlformats.org/officeDocument/2006/customXml" ds:itemID="{83FF0039-D598-4AEF-AE50-39E307FA9D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b9fd3a-36cd-4bd4-af51-58391b73fb95"/>
    <ds:schemaRef ds:uri="68e64b7d-3933-42c4-a834-55c5ce6af3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9AF78BD3-B3F8-417E-A644-CD41956FE547}">
  <ds:schemaRefs>
    <ds:schemaRef ds:uri="http://www.w3.org/2001/XMLSchema"/>
    <ds:schemaRef ds:uri="http://microsoft.data.visualization.Client.Excel/1.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Start</vt:lpstr>
      <vt:lpstr>Context variables</vt:lpstr>
      <vt:lpstr>Biodiversity Assessment</vt:lpstr>
      <vt:lpstr>ESVD - Database</vt:lpstr>
      <vt:lpstr>ESVD - Land Use Match</vt:lpstr>
      <vt:lpstr>ESVD - Land Use &amp; Climate Match</vt:lpstr>
      <vt:lpstr>ESVD - SUMMARY TABLE</vt:lpstr>
      <vt:lpstr>Graph 1</vt:lpstr>
      <vt:lpstr>Graph 2</vt:lpstr>
      <vt:lpstr>ESVD - Social Value of Bio</vt:lpstr>
      <vt:lpstr>Biodiversity</vt:lpstr>
      <vt:lpstr>Data</vt:lpstr>
      <vt:lpstr>Biodiversity Results</vt:lpstr>
      <vt:lpstr>Help</vt:lpstr>
      <vt:lpstr>Definitions</vt:lpstr>
    </vt:vector>
  </TitlesOfParts>
  <Manager/>
  <Company>IRD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B-INTACT v.1.6</dc:title>
  <dc:subject/>
  <dc:creator>Jihae Kwon (ESA);Audebert, Philip (ESA)</dc:creator>
  <cp:keywords>B-INTACT v.1.6</cp:keywords>
  <dc:description/>
  <cp:lastModifiedBy>Philip Audebert</cp:lastModifiedBy>
  <cp:revision/>
  <dcterms:created xsi:type="dcterms:W3CDTF">2009-05-21T16:53:20Z</dcterms:created>
  <dcterms:modified xsi:type="dcterms:W3CDTF">2020-06-10T13:37:31Z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0x0101002648611ACE18F34C8ECC02557BB12D89</vt:lpwstr>
  </property>
</Properties>
</file>